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24226"/>
  <mc:AlternateContent xmlns:mc="http://schemas.openxmlformats.org/markup-compatibility/2006">
    <mc:Choice Requires="x15">
      <x15ac:absPath xmlns:x15ac="http://schemas.microsoft.com/office/spreadsheetml/2010/11/ac" url="C:\Users\PhillipCurls\APG Dropbox\Development\Prospects\Current Prospects\Deep Green Portfolio\Broadway Villages\Financing\CDLAC-CTCAC\Draft\"/>
    </mc:Choice>
  </mc:AlternateContent>
  <xr:revisionPtr revIDLastSave="0" documentId="13_ncr:1_{88127F8B-8CEB-4C38-BD26-CEA6BF70982D}"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08" yWindow="-108" windowWidth="23256" windowHeight="12456" tabRatio="889" firstSheet="1" activeTab="3" xr2:uid="{00000000-000D-0000-FFFF-FFFF00000000}"/>
  </bookViews>
  <sheets>
    <sheet name="Instructions-App Completion " sheetId="1" r:id="rId1"/>
    <sheet name="Instructions-Electronic Submit" sheetId="2" r:id="rId2"/>
    <sheet name="Application Checklist" sheetId="3" r:id="rId3"/>
    <sheet name="Application" sheetId="4" r:id="rId4"/>
    <sheet name="Sources and Uses Budget" sheetId="5" r:id="rId5"/>
    <sheet name="Sources and Basis Breakdown" sheetId="6" r:id="rId6"/>
    <sheet name="CalHFA Addendum" sheetId="7" r:id="rId7"/>
    <sheet name="Basis &amp; Credits" sheetId="8" r:id="rId8"/>
    <sheet name="Points System" sheetId="9" r:id="rId9"/>
    <sheet name="Tie Breaker" sheetId="10" r:id="rId10"/>
    <sheet name="Subsidy Contract Calculation" sheetId="11" r:id="rId11"/>
    <sheet name="15 Year Pro Forma" sheetId="12" r:id="rId12"/>
    <sheet name="Post-award Instructions" sheetId="13" r:id="rId13"/>
    <sheet name="Post-award Project Cost Changes" sheetId="14" r:id="rId14"/>
  </sheets>
  <definedNames>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Breaker'!$L$18:$U$55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80" i="4" l="1"/>
  <c r="E99" i="5" l="1"/>
  <c r="G9" i="5" l="1"/>
  <c r="E9" i="5" s="1"/>
  <c r="E18" i="5" l="1"/>
  <c r="C104" i="14" l="1"/>
  <c r="B104" i="14"/>
  <c r="A104" i="14"/>
  <c r="C103" i="14"/>
  <c r="B103" i="14"/>
  <c r="C102" i="14"/>
  <c r="B102" i="14"/>
  <c r="C101" i="14"/>
  <c r="B101" i="14"/>
  <c r="C100" i="14"/>
  <c r="B100" i="14"/>
  <c r="C96" i="14"/>
  <c r="B96" i="14"/>
  <c r="C95" i="14"/>
  <c r="B95" i="14"/>
  <c r="C94" i="14"/>
  <c r="B94" i="14"/>
  <c r="C93" i="14"/>
  <c r="B93" i="14"/>
  <c r="C92" i="14"/>
  <c r="B92" i="14"/>
  <c r="C91" i="14"/>
  <c r="B91" i="14"/>
  <c r="C90" i="14"/>
  <c r="B90" i="14"/>
  <c r="C89" i="14"/>
  <c r="B89" i="14"/>
  <c r="C88" i="14"/>
  <c r="B88" i="14"/>
  <c r="C87" i="14"/>
  <c r="B87" i="14"/>
  <c r="C86" i="14"/>
  <c r="B86" i="14"/>
  <c r="C85" i="14"/>
  <c r="B85" i="14"/>
  <c r="C84" i="14"/>
  <c r="B84" i="14"/>
  <c r="C81" i="14"/>
  <c r="B81" i="14"/>
  <c r="C80" i="14"/>
  <c r="B80" i="14"/>
  <c r="C77" i="14"/>
  <c r="B77" i="14"/>
  <c r="C76" i="14"/>
  <c r="B76" i="14"/>
  <c r="C75" i="14"/>
  <c r="B75" i="14"/>
  <c r="C74" i="14"/>
  <c r="B74" i="14"/>
  <c r="C73" i="14"/>
  <c r="B73" i="14"/>
  <c r="C70" i="14"/>
  <c r="B70" i="14"/>
  <c r="A70" i="14"/>
  <c r="C69" i="14"/>
  <c r="B69" i="14"/>
  <c r="C68" i="14"/>
  <c r="B68" i="14"/>
  <c r="C67" i="14"/>
  <c r="B67" i="14"/>
  <c r="C66" i="14"/>
  <c r="B66" i="14"/>
  <c r="C62" i="14"/>
  <c r="B62" i="14"/>
  <c r="A62" i="14"/>
  <c r="C61" i="14"/>
  <c r="B61" i="14"/>
  <c r="C60" i="14"/>
  <c r="B60" i="14"/>
  <c r="C59" i="14"/>
  <c r="B59" i="14"/>
  <c r="C58" i="14"/>
  <c r="B58" i="14"/>
  <c r="C57" i="14"/>
  <c r="B57" i="14"/>
  <c r="C54" i="14"/>
  <c r="B54" i="14"/>
  <c r="A54" i="14"/>
  <c r="C53" i="14"/>
  <c r="B53" i="14"/>
  <c r="C52" i="14"/>
  <c r="B52" i="14"/>
  <c r="C51" i="14"/>
  <c r="B51" i="14"/>
  <c r="C50" i="14"/>
  <c r="B50" i="14"/>
  <c r="C49" i="14"/>
  <c r="B49" i="14"/>
  <c r="C48" i="14"/>
  <c r="B48" i="14"/>
  <c r="C47" i="14"/>
  <c r="B47" i="14"/>
  <c r="C46" i="14"/>
  <c r="B46" i="14"/>
  <c r="C44" i="14"/>
  <c r="B44" i="14"/>
  <c r="C42" i="14"/>
  <c r="B42" i="14"/>
  <c r="C41" i="14"/>
  <c r="B41" i="14"/>
  <c r="C38" i="14"/>
  <c r="B38" i="14"/>
  <c r="A38" i="14"/>
  <c r="C37" i="14"/>
  <c r="B37" i="14"/>
  <c r="C36" i="14"/>
  <c r="B36" i="14"/>
  <c r="C35" i="14"/>
  <c r="B35" i="14"/>
  <c r="C34" i="14"/>
  <c r="B34" i="14"/>
  <c r="C33" i="14"/>
  <c r="B33" i="14"/>
  <c r="C32" i="14"/>
  <c r="B32" i="14"/>
  <c r="C31" i="14"/>
  <c r="B31" i="14"/>
  <c r="C30" i="14"/>
  <c r="B30" i="14"/>
  <c r="C28" i="14"/>
  <c r="B28" i="14"/>
  <c r="C26" i="14"/>
  <c r="B26" i="14"/>
  <c r="A26" i="14"/>
  <c r="C25" i="14"/>
  <c r="B25" i="14"/>
  <c r="C24" i="14"/>
  <c r="B24" i="14"/>
  <c r="C23" i="14"/>
  <c r="B23" i="14"/>
  <c r="C22" i="14"/>
  <c r="B22" i="14"/>
  <c r="C21" i="14"/>
  <c r="B21" i="14"/>
  <c r="C20" i="14"/>
  <c r="B20" i="14"/>
  <c r="C19" i="14"/>
  <c r="B19" i="14"/>
  <c r="C18" i="14"/>
  <c r="B18" i="14"/>
  <c r="C16" i="14"/>
  <c r="B16" i="14"/>
  <c r="C15" i="14"/>
  <c r="B15" i="14"/>
  <c r="C14" i="14"/>
  <c r="B14" i="14"/>
  <c r="C11" i="14"/>
  <c r="B11" i="14"/>
  <c r="C10" i="14"/>
  <c r="B10" i="14"/>
  <c r="C8" i="14"/>
  <c r="B8" i="14"/>
  <c r="C7" i="14"/>
  <c r="B7" i="14"/>
  <c r="C6" i="14"/>
  <c r="B6" i="14"/>
  <c r="C5" i="14"/>
  <c r="B5" i="14"/>
  <c r="G69" i="12"/>
  <c r="I69" i="12" s="1"/>
  <c r="K69" i="12" s="1"/>
  <c r="M69" i="12" s="1"/>
  <c r="O69" i="12" s="1"/>
  <c r="Q69" i="12" s="1"/>
  <c r="S69" i="12" s="1"/>
  <c r="U69" i="12" s="1"/>
  <c r="W69" i="12" s="1"/>
  <c r="Y69" i="12" s="1"/>
  <c r="AA69" i="12" s="1"/>
  <c r="AC69" i="12" s="1"/>
  <c r="AE69" i="12" s="1"/>
  <c r="AG69" i="12" s="1"/>
  <c r="G68" i="12"/>
  <c r="I68" i="12" s="1"/>
  <c r="K68" i="12" s="1"/>
  <c r="M68" i="12" s="1"/>
  <c r="O68" i="12" s="1"/>
  <c r="Q68" i="12" s="1"/>
  <c r="S68" i="12" s="1"/>
  <c r="U68" i="12" s="1"/>
  <c r="W68" i="12" s="1"/>
  <c r="Y68" i="12" s="1"/>
  <c r="AA68" i="12" s="1"/>
  <c r="AC68" i="12" s="1"/>
  <c r="AE68" i="12" s="1"/>
  <c r="AG68" i="12" s="1"/>
  <c r="E58" i="12"/>
  <c r="G57" i="12"/>
  <c r="I57" i="12" s="1"/>
  <c r="K57" i="12" s="1"/>
  <c r="M57" i="12" s="1"/>
  <c r="O57" i="12" s="1"/>
  <c r="Q57" i="12" s="1"/>
  <c r="S57" i="12" s="1"/>
  <c r="U57" i="12" s="1"/>
  <c r="W57" i="12" s="1"/>
  <c r="Y57" i="12" s="1"/>
  <c r="AA57" i="12" s="1"/>
  <c r="AC57" i="12" s="1"/>
  <c r="AE57" i="12" s="1"/>
  <c r="AG57" i="12" s="1"/>
  <c r="G56" i="12"/>
  <c r="I56" i="12" s="1"/>
  <c r="K56" i="12" s="1"/>
  <c r="M56" i="12" s="1"/>
  <c r="O56" i="12" s="1"/>
  <c r="Q56" i="12" s="1"/>
  <c r="S56" i="12" s="1"/>
  <c r="U56" i="12" s="1"/>
  <c r="W56" i="12" s="1"/>
  <c r="Y56" i="12" s="1"/>
  <c r="AA56" i="12" s="1"/>
  <c r="AC56" i="12" s="1"/>
  <c r="AE56" i="12" s="1"/>
  <c r="AG56" i="12" s="1"/>
  <c r="G55" i="12"/>
  <c r="I55" i="12" s="1"/>
  <c r="K55" i="12" s="1"/>
  <c r="M55" i="12" s="1"/>
  <c r="O55" i="12" s="1"/>
  <c r="Q55" i="12" s="1"/>
  <c r="S55" i="12" s="1"/>
  <c r="U55" i="12" s="1"/>
  <c r="W55" i="12" s="1"/>
  <c r="Y55" i="12" s="1"/>
  <c r="AA55" i="12" s="1"/>
  <c r="AC55" i="12" s="1"/>
  <c r="AE55" i="12" s="1"/>
  <c r="AG55" i="12" s="1"/>
  <c r="G54" i="12"/>
  <c r="I54" i="12" s="1"/>
  <c r="K54" i="12" s="1"/>
  <c r="M54" i="12" s="1"/>
  <c r="O54" i="12" s="1"/>
  <c r="Q54" i="12" s="1"/>
  <c r="S54" i="12" s="1"/>
  <c r="U54" i="12" s="1"/>
  <c r="W54" i="12" s="1"/>
  <c r="Y54" i="12" s="1"/>
  <c r="AA54" i="12" s="1"/>
  <c r="AC54" i="12" s="1"/>
  <c r="AE54" i="12" s="1"/>
  <c r="AG54" i="12" s="1"/>
  <c r="G53" i="12"/>
  <c r="AG42" i="12"/>
  <c r="AE42" i="12"/>
  <c r="AC42" i="12"/>
  <c r="AA42" i="12"/>
  <c r="Y42" i="12"/>
  <c r="W42" i="12"/>
  <c r="U42" i="12"/>
  <c r="S42" i="12"/>
  <c r="Q42" i="12"/>
  <c r="O42" i="12"/>
  <c r="M42" i="12"/>
  <c r="K42" i="12"/>
  <c r="I42" i="12"/>
  <c r="G42" i="12"/>
  <c r="AG41" i="12"/>
  <c r="AE41" i="12"/>
  <c r="AC41" i="12"/>
  <c r="AA41" i="12"/>
  <c r="Y41" i="12"/>
  <c r="W41" i="12"/>
  <c r="U41" i="12"/>
  <c r="S41" i="12"/>
  <c r="Q41" i="12"/>
  <c r="O41" i="12"/>
  <c r="M41" i="12"/>
  <c r="K41" i="12"/>
  <c r="I41" i="12"/>
  <c r="G41" i="12"/>
  <c r="E40" i="12"/>
  <c r="AC40" i="12" s="1"/>
  <c r="A40" i="12"/>
  <c r="E33" i="12"/>
  <c r="G33" i="12" s="1"/>
  <c r="I33" i="12" s="1"/>
  <c r="K33" i="12" s="1"/>
  <c r="M33" i="12" s="1"/>
  <c r="O33" i="12" s="1"/>
  <c r="Q33" i="12" s="1"/>
  <c r="S33" i="12" s="1"/>
  <c r="U33" i="12" s="1"/>
  <c r="W33" i="12" s="1"/>
  <c r="Y33" i="12" s="1"/>
  <c r="AA33" i="12" s="1"/>
  <c r="AC33" i="12" s="1"/>
  <c r="AE33" i="12" s="1"/>
  <c r="AG33" i="12" s="1"/>
  <c r="A33" i="12"/>
  <c r="E32" i="12"/>
  <c r="G32" i="12" s="1"/>
  <c r="I32" i="12" s="1"/>
  <c r="K32" i="12" s="1"/>
  <c r="M32" i="12" s="1"/>
  <c r="O32" i="12" s="1"/>
  <c r="Q32" i="12" s="1"/>
  <c r="S32" i="12" s="1"/>
  <c r="U32" i="12" s="1"/>
  <c r="W32" i="12" s="1"/>
  <c r="Y32" i="12" s="1"/>
  <c r="AA32" i="12" s="1"/>
  <c r="AC32" i="12" s="1"/>
  <c r="AE32" i="12" s="1"/>
  <c r="AG32" i="12" s="1"/>
  <c r="A32" i="12"/>
  <c r="E31" i="12"/>
  <c r="G31" i="12" s="1"/>
  <c r="I31" i="12" s="1"/>
  <c r="K31" i="12" s="1"/>
  <c r="M31" i="12" s="1"/>
  <c r="O31" i="12" s="1"/>
  <c r="Q31" i="12" s="1"/>
  <c r="S31" i="12" s="1"/>
  <c r="U31" i="12" s="1"/>
  <c r="W31" i="12" s="1"/>
  <c r="Y31" i="12" s="1"/>
  <c r="AA31" i="12" s="1"/>
  <c r="AC31" i="12" s="1"/>
  <c r="AE31" i="12" s="1"/>
  <c r="AG31" i="12" s="1"/>
  <c r="E30" i="12"/>
  <c r="G30" i="12" s="1"/>
  <c r="I30" i="12" s="1"/>
  <c r="K30" i="12" s="1"/>
  <c r="M30" i="12" s="1"/>
  <c r="O30" i="12" s="1"/>
  <c r="Q30" i="12" s="1"/>
  <c r="S30" i="12" s="1"/>
  <c r="U30" i="12" s="1"/>
  <c r="W30" i="12" s="1"/>
  <c r="Y30" i="12" s="1"/>
  <c r="AA30" i="12" s="1"/>
  <c r="AC30" i="12" s="1"/>
  <c r="AE30" i="12" s="1"/>
  <c r="AG30" i="12" s="1"/>
  <c r="E29" i="12"/>
  <c r="AC29" i="12" s="1"/>
  <c r="E28" i="12"/>
  <c r="G28" i="12" s="1"/>
  <c r="I28" i="12" s="1"/>
  <c r="K28" i="12" s="1"/>
  <c r="M28" i="12" s="1"/>
  <c r="O28" i="12" s="1"/>
  <c r="Q28" i="12" s="1"/>
  <c r="S28" i="12" s="1"/>
  <c r="U28" i="12" s="1"/>
  <c r="W28" i="12" s="1"/>
  <c r="Y28" i="12" s="1"/>
  <c r="AA28" i="12" s="1"/>
  <c r="AC28" i="12" s="1"/>
  <c r="AE28" i="12" s="1"/>
  <c r="AG28" i="12" s="1"/>
  <c r="E27" i="12"/>
  <c r="E26" i="12"/>
  <c r="G26" i="12" s="1"/>
  <c r="I26" i="12" s="1"/>
  <c r="K26" i="12" s="1"/>
  <c r="M26" i="12" s="1"/>
  <c r="O26" i="12" s="1"/>
  <c r="Q26" i="12" s="1"/>
  <c r="S26" i="12" s="1"/>
  <c r="U26" i="12" s="1"/>
  <c r="W26" i="12" s="1"/>
  <c r="Y26" i="12" s="1"/>
  <c r="AA26" i="12" s="1"/>
  <c r="AC26" i="12" s="1"/>
  <c r="AE26" i="12" s="1"/>
  <c r="AG26" i="12" s="1"/>
  <c r="G24" i="12"/>
  <c r="I24" i="12" s="1"/>
  <c r="K24" i="12" s="1"/>
  <c r="M24" i="12" s="1"/>
  <c r="O24" i="12" s="1"/>
  <c r="Q24" i="12" s="1"/>
  <c r="S24" i="12" s="1"/>
  <c r="U24" i="12" s="1"/>
  <c r="W24" i="12" s="1"/>
  <c r="Y24" i="12" s="1"/>
  <c r="AA24" i="12" s="1"/>
  <c r="AC24" i="12" s="1"/>
  <c r="AE24" i="12" s="1"/>
  <c r="AG24" i="12" s="1"/>
  <c r="E19" i="12"/>
  <c r="G19" i="12" s="1"/>
  <c r="I19" i="12" s="1"/>
  <c r="K19" i="12" s="1"/>
  <c r="M19" i="12" s="1"/>
  <c r="O19" i="12" s="1"/>
  <c r="Q19" i="12" s="1"/>
  <c r="S19" i="12" s="1"/>
  <c r="U19" i="12" s="1"/>
  <c r="W19" i="12" s="1"/>
  <c r="Y19" i="12" s="1"/>
  <c r="AA19" i="12" s="1"/>
  <c r="AC19" i="12" s="1"/>
  <c r="AE19" i="12" s="1"/>
  <c r="AG19" i="12" s="1"/>
  <c r="E16" i="12"/>
  <c r="G16" i="12" s="1"/>
  <c r="I16" i="12" s="1"/>
  <c r="K16" i="12" s="1"/>
  <c r="M16" i="12" s="1"/>
  <c r="O16" i="12" s="1"/>
  <c r="Q16" i="12" s="1"/>
  <c r="S16" i="12" s="1"/>
  <c r="U16" i="12" s="1"/>
  <c r="W16" i="12" s="1"/>
  <c r="Y16" i="12" s="1"/>
  <c r="AA16" i="12" s="1"/>
  <c r="AC16" i="12" s="1"/>
  <c r="AE16" i="12" s="1"/>
  <c r="AG16" i="12" s="1"/>
  <c r="C9" i="12"/>
  <c r="C7" i="12"/>
  <c r="C5" i="12"/>
  <c r="J38" i="11"/>
  <c r="I38" i="11"/>
  <c r="D38" i="11"/>
  <c r="B38" i="11"/>
  <c r="G38" i="11" s="1"/>
  <c r="A38" i="11"/>
  <c r="J37" i="11"/>
  <c r="I37" i="11"/>
  <c r="D37" i="11"/>
  <c r="B37" i="11"/>
  <c r="G37" i="11" s="1"/>
  <c r="A37" i="11"/>
  <c r="J36" i="11"/>
  <c r="I36" i="11"/>
  <c r="D36" i="11"/>
  <c r="B36" i="11"/>
  <c r="G36" i="11" s="1"/>
  <c r="A36" i="11"/>
  <c r="J35" i="11"/>
  <c r="I35" i="11"/>
  <c r="D35" i="11"/>
  <c r="B35" i="11"/>
  <c r="G35" i="11" s="1"/>
  <c r="A35" i="11"/>
  <c r="J34" i="11"/>
  <c r="I34" i="11"/>
  <c r="D34" i="11"/>
  <c r="B34" i="11"/>
  <c r="G34" i="11" s="1"/>
  <c r="A34" i="11"/>
  <c r="J33" i="11"/>
  <c r="I33" i="11"/>
  <c r="D33" i="11"/>
  <c r="B33" i="11"/>
  <c r="G33" i="11" s="1"/>
  <c r="A33" i="11"/>
  <c r="J32" i="11"/>
  <c r="I32" i="11"/>
  <c r="D32" i="11"/>
  <c r="B32" i="11"/>
  <c r="G32" i="11" s="1"/>
  <c r="A32" i="11"/>
  <c r="J31" i="11"/>
  <c r="I31" i="11"/>
  <c r="D31" i="11"/>
  <c r="B31" i="11"/>
  <c r="G31" i="11" s="1"/>
  <c r="A31" i="11"/>
  <c r="J30" i="11"/>
  <c r="I30" i="11"/>
  <c r="D30" i="11"/>
  <c r="B30" i="11"/>
  <c r="G30" i="11" s="1"/>
  <c r="A30" i="11"/>
  <c r="J29" i="11"/>
  <c r="I29" i="11"/>
  <c r="D29" i="11"/>
  <c r="B29" i="11"/>
  <c r="G29" i="11" s="1"/>
  <c r="A29" i="11"/>
  <c r="J28" i="11"/>
  <c r="I28" i="11"/>
  <c r="D28" i="11"/>
  <c r="B28" i="11"/>
  <c r="G28" i="11" s="1"/>
  <c r="A28" i="11"/>
  <c r="J27" i="11"/>
  <c r="I27" i="11"/>
  <c r="D27" i="11"/>
  <c r="B27" i="11"/>
  <c r="G27" i="11" s="1"/>
  <c r="A27" i="11"/>
  <c r="J26" i="11"/>
  <c r="I26" i="11"/>
  <c r="D26" i="11"/>
  <c r="B26" i="11"/>
  <c r="G26" i="11" s="1"/>
  <c r="A26" i="11"/>
  <c r="J25" i="11"/>
  <c r="I25" i="11"/>
  <c r="D25" i="11"/>
  <c r="B25" i="11"/>
  <c r="G25" i="11" s="1"/>
  <c r="A25" i="11"/>
  <c r="J24" i="11"/>
  <c r="I24" i="11"/>
  <c r="D24" i="11"/>
  <c r="B24" i="11"/>
  <c r="G24" i="11" s="1"/>
  <c r="A24" i="11"/>
  <c r="J23" i="11"/>
  <c r="I23" i="11"/>
  <c r="D23" i="11"/>
  <c r="B23" i="11"/>
  <c r="G23" i="11" s="1"/>
  <c r="A23" i="11"/>
  <c r="J22" i="11"/>
  <c r="I22" i="11"/>
  <c r="D22" i="11"/>
  <c r="B22" i="11"/>
  <c r="G22" i="11" s="1"/>
  <c r="A22" i="11"/>
  <c r="J21" i="11"/>
  <c r="I21" i="11"/>
  <c r="D21" i="11"/>
  <c r="B21" i="11"/>
  <c r="G21" i="11" s="1"/>
  <c r="A21" i="11"/>
  <c r="J20" i="11"/>
  <c r="I20" i="11"/>
  <c r="D20" i="11"/>
  <c r="B20" i="11"/>
  <c r="G20" i="11" s="1"/>
  <c r="A20" i="11"/>
  <c r="J19" i="11"/>
  <c r="I19" i="11"/>
  <c r="D19" i="11"/>
  <c r="B19" i="11"/>
  <c r="G19" i="11" s="1"/>
  <c r="A19" i="11"/>
  <c r="J18" i="11"/>
  <c r="I18" i="11"/>
  <c r="D18" i="11"/>
  <c r="B18" i="11"/>
  <c r="G18" i="11" s="1"/>
  <c r="A18" i="11"/>
  <c r="J17" i="11"/>
  <c r="I17" i="11"/>
  <c r="D17" i="11"/>
  <c r="B17" i="11"/>
  <c r="G17" i="11" s="1"/>
  <c r="A17" i="11"/>
  <c r="J16" i="11"/>
  <c r="I16" i="11"/>
  <c r="D16" i="11"/>
  <c r="B16" i="11"/>
  <c r="G16" i="11" s="1"/>
  <c r="A16" i="11"/>
  <c r="J15" i="11"/>
  <c r="I15" i="11"/>
  <c r="D15" i="11"/>
  <c r="B15" i="11"/>
  <c r="G15" i="11" s="1"/>
  <c r="A15" i="11"/>
  <c r="J14" i="11"/>
  <c r="I14" i="11"/>
  <c r="D14" i="11"/>
  <c r="B14" i="11"/>
  <c r="G14" i="11" s="1"/>
  <c r="A14" i="11"/>
  <c r="J13" i="11"/>
  <c r="I13" i="11"/>
  <c r="D13" i="11"/>
  <c r="B13" i="11"/>
  <c r="G13" i="11" s="1"/>
  <c r="A13" i="11"/>
  <c r="J12" i="11"/>
  <c r="I12" i="11"/>
  <c r="D12" i="11"/>
  <c r="B12" i="11"/>
  <c r="G12" i="11" s="1"/>
  <c r="A12" i="11"/>
  <c r="J11" i="11"/>
  <c r="I11" i="11"/>
  <c r="D11" i="11"/>
  <c r="B11" i="11"/>
  <c r="G11" i="11" s="1"/>
  <c r="A11" i="11"/>
  <c r="J10" i="11"/>
  <c r="I10" i="11"/>
  <c r="D10" i="11"/>
  <c r="B10" i="11"/>
  <c r="G10" i="11" s="1"/>
  <c r="A10" i="11"/>
  <c r="J9" i="11"/>
  <c r="I9" i="11"/>
  <c r="D9" i="11"/>
  <c r="B9" i="11"/>
  <c r="G9" i="11" s="1"/>
  <c r="A9" i="11"/>
  <c r="J8" i="11"/>
  <c r="I8" i="11"/>
  <c r="D8" i="11"/>
  <c r="B8" i="11"/>
  <c r="G8" i="11" s="1"/>
  <c r="A8" i="11"/>
  <c r="J7" i="11"/>
  <c r="I7" i="11"/>
  <c r="D7" i="11"/>
  <c r="B7" i="11"/>
  <c r="G7" i="11" s="1"/>
  <c r="A7" i="11"/>
  <c r="J6" i="11"/>
  <c r="I6" i="11"/>
  <c r="D6" i="11"/>
  <c r="B6" i="11"/>
  <c r="G6" i="11" s="1"/>
  <c r="A6" i="11"/>
  <c r="J5" i="11"/>
  <c r="I5" i="11"/>
  <c r="D5" i="11"/>
  <c r="B5" i="11"/>
  <c r="G5" i="11" s="1"/>
  <c r="A5" i="11"/>
  <c r="J4" i="11"/>
  <c r="I4" i="11"/>
  <c r="D4" i="11"/>
  <c r="B4" i="11"/>
  <c r="G4" i="11" s="1"/>
  <c r="A4" i="11"/>
  <c r="AF842" i="9"/>
  <c r="A841" i="9"/>
  <c r="A840" i="9"/>
  <c r="A839" i="9"/>
  <c r="B837" i="9"/>
  <c r="A837" i="9"/>
  <c r="B836" i="9"/>
  <c r="A836" i="9"/>
  <c r="B826" i="9"/>
  <c r="AJ814" i="9"/>
  <c r="AJ805" i="9"/>
  <c r="AJ794" i="9"/>
  <c r="AJ778" i="9"/>
  <c r="AJ766" i="9"/>
  <c r="AJ750" i="9"/>
  <c r="AJ738" i="9"/>
  <c r="AX702" i="9"/>
  <c r="AJ700" i="9"/>
  <c r="AJ665" i="9"/>
  <c r="AJ653" i="9"/>
  <c r="AO610" i="9"/>
  <c r="AP596" i="9"/>
  <c r="AG536" i="9"/>
  <c r="AG532" i="9"/>
  <c r="AG528" i="9"/>
  <c r="AG525" i="9"/>
  <c r="AG521" i="9"/>
  <c r="AG516" i="9"/>
  <c r="AG511" i="9"/>
  <c r="AG509" i="9"/>
  <c r="AG505" i="9"/>
  <c r="AG500" i="9"/>
  <c r="AG498" i="9"/>
  <c r="AG493" i="9"/>
  <c r="U387" i="9"/>
  <c r="AP386" i="9"/>
  <c r="AP385" i="9"/>
  <c r="AP384" i="9"/>
  <c r="AP383" i="9"/>
  <c r="AP382" i="9"/>
  <c r="AP381" i="9"/>
  <c r="AP378" i="9"/>
  <c r="AP377" i="9"/>
  <c r="AP376" i="9"/>
  <c r="AP375" i="9"/>
  <c r="AP374" i="9"/>
  <c r="AP373" i="9"/>
  <c r="AP372" i="9"/>
  <c r="AP371" i="9"/>
  <c r="AP370" i="9"/>
  <c r="AK351" i="9"/>
  <c r="T838" i="9" s="1"/>
  <c r="AP307" i="9"/>
  <c r="AP306" i="9"/>
  <c r="AK298" i="9"/>
  <c r="T836" i="9" s="1"/>
  <c r="AF836" i="9" s="1"/>
  <c r="BE78" i="4" s="1"/>
  <c r="AB244" i="9"/>
  <c r="AB246" i="9" s="1"/>
  <c r="AB232" i="9"/>
  <c r="AB231" i="9"/>
  <c r="AB230" i="9"/>
  <c r="AB229" i="9"/>
  <c r="AB228" i="9"/>
  <c r="AB227" i="9"/>
  <c r="AB226" i="9"/>
  <c r="AB225" i="9"/>
  <c r="AB224" i="9"/>
  <c r="AB223" i="9"/>
  <c r="AJ179" i="9"/>
  <c r="T832" i="9" s="1"/>
  <c r="C177" i="9"/>
  <c r="AJ165" i="9"/>
  <c r="AQ135" i="9"/>
  <c r="AO135" i="9"/>
  <c r="AQ134" i="9"/>
  <c r="AO134" i="9"/>
  <c r="AQ133" i="9"/>
  <c r="AO133" i="9"/>
  <c r="AQ132" i="9"/>
  <c r="AO132" i="9"/>
  <c r="AQ131" i="9"/>
  <c r="AO131" i="9"/>
  <c r="AQ130" i="9"/>
  <c r="AO130" i="9"/>
  <c r="AQ129" i="9"/>
  <c r="AO129" i="9"/>
  <c r="AQ128" i="9"/>
  <c r="AO128" i="9"/>
  <c r="AQ127" i="9"/>
  <c r="AO127" i="9"/>
  <c r="AQ126" i="9"/>
  <c r="AO126" i="9"/>
  <c r="AQ125" i="9"/>
  <c r="AO125" i="9"/>
  <c r="AQ124" i="9"/>
  <c r="AO124" i="9"/>
  <c r="AQ123" i="9"/>
  <c r="AO123" i="9"/>
  <c r="AQ122" i="9"/>
  <c r="AO122" i="9"/>
  <c r="AQ121" i="9"/>
  <c r="AO121" i="9"/>
  <c r="AV120" i="9" a="1"/>
  <c r="AV120" i="9" s="1"/>
  <c r="AU120" i="9"/>
  <c r="AQ120" i="9"/>
  <c r="AO120" i="9"/>
  <c r="AV119" i="9" a="1"/>
  <c r="AV119" i="9" s="1"/>
  <c r="AU119" i="9"/>
  <c r="AQ119" i="9"/>
  <c r="AO119" i="9"/>
  <c r="AV118" i="9" a="1"/>
  <c r="AV118" i="9" s="1"/>
  <c r="AU118" i="9"/>
  <c r="AQ118" i="9"/>
  <c r="AO118" i="9"/>
  <c r="AV117" i="9" a="1"/>
  <c r="AV117" i="9" s="1"/>
  <c r="AU117" i="9"/>
  <c r="AQ117" i="9"/>
  <c r="AO117" i="9"/>
  <c r="AV116" i="9" a="1"/>
  <c r="AV116" i="9" s="1"/>
  <c r="AU116" i="9"/>
  <c r="AQ116" i="9"/>
  <c r="AO116" i="9"/>
  <c r="AV115" i="9" a="1"/>
  <c r="AV115" i="9" s="1"/>
  <c r="AU115" i="9"/>
  <c r="AQ115" i="9"/>
  <c r="AO115" i="9"/>
  <c r="AQ114" i="9"/>
  <c r="AO114" i="9"/>
  <c r="AQ113" i="9"/>
  <c r="AO113" i="9"/>
  <c r="AQ112" i="9"/>
  <c r="AO112" i="9"/>
  <c r="AQ111" i="9"/>
  <c r="AO111" i="9"/>
  <c r="AP94" i="9"/>
  <c r="AO70" i="9"/>
  <c r="AO69" i="9"/>
  <c r="AO68" i="9"/>
  <c r="AO67" i="9"/>
  <c r="AO56" i="9"/>
  <c r="AO55" i="9"/>
  <c r="AO46" i="9"/>
  <c r="AO45" i="9"/>
  <c r="AO44" i="9"/>
  <c r="AO43" i="9"/>
  <c r="AO33" i="9"/>
  <c r="AO32" i="9"/>
  <c r="AO31" i="9"/>
  <c r="AO30" i="9"/>
  <c r="AO26" i="9"/>
  <c r="AO21" i="9"/>
  <c r="AD67" i="8"/>
  <c r="Y67" i="8"/>
  <c r="AD64" i="8"/>
  <c r="Y64" i="8"/>
  <c r="A61" i="8"/>
  <c r="T25" i="8"/>
  <c r="T7" i="8" s="1"/>
  <c r="AI20" i="8"/>
  <c r="AI22" i="8" s="1"/>
  <c r="AD20" i="8"/>
  <c r="AD22" i="8" s="1"/>
  <c r="Y20" i="8"/>
  <c r="Y22" i="8" s="1"/>
  <c r="T20" i="8"/>
  <c r="T22" i="8" s="1"/>
  <c r="A3" i="8"/>
  <c r="AC211" i="7"/>
  <c r="Y211" i="7"/>
  <c r="U211" i="7"/>
  <c r="O198" i="7"/>
  <c r="AU187" i="7"/>
  <c r="O75" i="7"/>
  <c r="B64" i="7"/>
  <c r="B63" i="7"/>
  <c r="B62" i="7"/>
  <c r="B61" i="7"/>
  <c r="B60" i="7"/>
  <c r="Z57" i="7"/>
  <c r="R57" i="7"/>
  <c r="AS47" i="7"/>
  <c r="AS46" i="7"/>
  <c r="AS45" i="7"/>
  <c r="AS44" i="7"/>
  <c r="AS43" i="7"/>
  <c r="AS42" i="7"/>
  <c r="AS41" i="7"/>
  <c r="AS40" i="7"/>
  <c r="AS39" i="7"/>
  <c r="AS38" i="7"/>
  <c r="AS37" i="7"/>
  <c r="AS36" i="7"/>
  <c r="AN28" i="7"/>
  <c r="AH28" i="7"/>
  <c r="AB28" i="7"/>
  <c r="V28" i="7"/>
  <c r="P28" i="7"/>
  <c r="AN24" i="7" a="1"/>
  <c r="AN24" i="7" s="1"/>
  <c r="AH24" i="7" a="1"/>
  <c r="AH24" i="7" s="1"/>
  <c r="AB24" i="7" a="1"/>
  <c r="AB24" i="7" s="1"/>
  <c r="V24" i="7" a="1"/>
  <c r="V24" i="7" s="1"/>
  <c r="P24" i="7" a="1"/>
  <c r="P24" i="7" s="1"/>
  <c r="AN23" i="7" a="1"/>
  <c r="AN23" i="7" s="1"/>
  <c r="AH23" i="7" a="1"/>
  <c r="AH23" i="7" s="1"/>
  <c r="AB23" i="7" a="1"/>
  <c r="AB23" i="7" s="1"/>
  <c r="V23" i="7" a="1"/>
  <c r="V23" i="7" s="1"/>
  <c r="P23" i="7" a="1"/>
  <c r="P23" i="7" s="1"/>
  <c r="AN22" i="7" a="1"/>
  <c r="AN22" i="7" s="1"/>
  <c r="AH22" i="7" a="1"/>
  <c r="AH22" i="7" s="1"/>
  <c r="AB22" i="7" a="1"/>
  <c r="AB22" i="7" s="1"/>
  <c r="V22" i="7" a="1"/>
  <c r="V22" i="7" s="1"/>
  <c r="P22" i="7" a="1"/>
  <c r="P22" i="7" s="1"/>
  <c r="AN21" i="7" a="1"/>
  <c r="AN21" i="7" s="1"/>
  <c r="AH21" i="7" a="1"/>
  <c r="AH21" i="7" s="1"/>
  <c r="AB21" i="7" a="1"/>
  <c r="AB21" i="7" s="1"/>
  <c r="V21" i="7" a="1"/>
  <c r="V21" i="7" s="1"/>
  <c r="P21" i="7" a="1"/>
  <c r="P21" i="7" s="1"/>
  <c r="AN20" i="7" a="1"/>
  <c r="AN20" i="7" s="1"/>
  <c r="AH20" i="7" a="1"/>
  <c r="AH20" i="7" s="1"/>
  <c r="AB20" i="7" a="1"/>
  <c r="AB20" i="7" s="1"/>
  <c r="V20" i="7" a="1"/>
  <c r="V20" i="7" s="1"/>
  <c r="P20" i="7" a="1"/>
  <c r="P20" i="7" s="1"/>
  <c r="AN19" i="7" a="1"/>
  <c r="AN19" i="7" s="1"/>
  <c r="AH19" i="7" a="1"/>
  <c r="AH19" i="7" s="1"/>
  <c r="AB19" i="7" a="1"/>
  <c r="AB19" i="7" s="1"/>
  <c r="V19" i="7" a="1"/>
  <c r="V19" i="7" s="1"/>
  <c r="P19" i="7" a="1"/>
  <c r="P19" i="7" s="1"/>
  <c r="S15" i="7"/>
  <c r="AO13" i="7"/>
  <c r="N11" i="7"/>
  <c r="N10" i="7"/>
  <c r="AB8" i="7"/>
  <c r="L6" i="7"/>
  <c r="L4" i="7"/>
  <c r="H106" i="6"/>
  <c r="E106" i="6"/>
  <c r="J104" i="6"/>
  <c r="I104" i="6"/>
  <c r="G104" i="6"/>
  <c r="F104" i="6"/>
  <c r="D104" i="6"/>
  <c r="C104" i="6"/>
  <c r="H103" i="6"/>
  <c r="E103" i="6"/>
  <c r="B103" i="6"/>
  <c r="A103" i="6"/>
  <c r="H102" i="6"/>
  <c r="E102" i="6"/>
  <c r="B102" i="6"/>
  <c r="H101" i="6"/>
  <c r="E101" i="6"/>
  <c r="B101" i="6"/>
  <c r="H100" i="6"/>
  <c r="E100" i="6"/>
  <c r="B100" i="6"/>
  <c r="H99" i="6"/>
  <c r="E99" i="6"/>
  <c r="B99" i="6"/>
  <c r="J96" i="6"/>
  <c r="I96" i="6"/>
  <c r="G96" i="6"/>
  <c r="F96" i="6"/>
  <c r="D96" i="6"/>
  <c r="C96" i="6"/>
  <c r="H95" i="6"/>
  <c r="E95" i="6"/>
  <c r="B95" i="6"/>
  <c r="A95" i="6"/>
  <c r="H94" i="6"/>
  <c r="E94" i="6"/>
  <c r="B94" i="6"/>
  <c r="A94" i="6"/>
  <c r="H93" i="6"/>
  <c r="E93" i="6"/>
  <c r="B93" i="6"/>
  <c r="A93" i="6"/>
  <c r="H92" i="6"/>
  <c r="E92" i="6"/>
  <c r="B92" i="6"/>
  <c r="H91" i="6"/>
  <c r="E91" i="6"/>
  <c r="B91" i="6"/>
  <c r="H90" i="6"/>
  <c r="E90" i="6"/>
  <c r="B90" i="6"/>
  <c r="H89" i="6"/>
  <c r="E89" i="6"/>
  <c r="B89" i="6"/>
  <c r="B88" i="6"/>
  <c r="H87" i="6"/>
  <c r="E87" i="6"/>
  <c r="B87" i="6"/>
  <c r="H86" i="6"/>
  <c r="E86" i="6"/>
  <c r="B86" i="6"/>
  <c r="H85" i="6"/>
  <c r="E85" i="6"/>
  <c r="B85" i="6"/>
  <c r="H84" i="6"/>
  <c r="E84" i="6"/>
  <c r="B84" i="6"/>
  <c r="B83" i="6"/>
  <c r="J81" i="6"/>
  <c r="I81" i="6"/>
  <c r="G81" i="6"/>
  <c r="F81" i="6"/>
  <c r="D81" i="6"/>
  <c r="C81" i="6"/>
  <c r="H80" i="6"/>
  <c r="E80" i="6"/>
  <c r="B80" i="6"/>
  <c r="H79" i="6"/>
  <c r="E79" i="6"/>
  <c r="B79" i="6"/>
  <c r="D77" i="6"/>
  <c r="C77" i="6"/>
  <c r="B76" i="6"/>
  <c r="A76" i="6"/>
  <c r="B75" i="6"/>
  <c r="B74" i="6"/>
  <c r="B73" i="6"/>
  <c r="B72" i="6"/>
  <c r="J70" i="6"/>
  <c r="I70" i="6"/>
  <c r="G70" i="6"/>
  <c r="F70" i="6"/>
  <c r="D70" i="6"/>
  <c r="C70" i="6"/>
  <c r="H69" i="6"/>
  <c r="E69" i="6"/>
  <c r="B69" i="6"/>
  <c r="A69" i="6"/>
  <c r="H68" i="6"/>
  <c r="E68" i="6"/>
  <c r="B68" i="6"/>
  <c r="H67" i="6"/>
  <c r="E67" i="6"/>
  <c r="B67" i="6"/>
  <c r="H66" i="6"/>
  <c r="E66" i="6"/>
  <c r="B66" i="6"/>
  <c r="H65" i="6"/>
  <c r="E65" i="6"/>
  <c r="B65" i="6"/>
  <c r="D62" i="6"/>
  <c r="C62" i="6"/>
  <c r="B61" i="6"/>
  <c r="A61" i="6"/>
  <c r="B60" i="6"/>
  <c r="B59" i="6"/>
  <c r="B58" i="6"/>
  <c r="B57" i="6"/>
  <c r="B56" i="6"/>
  <c r="J54" i="6"/>
  <c r="I54" i="6"/>
  <c r="G54" i="6"/>
  <c r="F54" i="6"/>
  <c r="D54" i="6"/>
  <c r="C54" i="6"/>
  <c r="H53" i="6"/>
  <c r="E53" i="6"/>
  <c r="B53" i="6"/>
  <c r="A53" i="6"/>
  <c r="H52" i="6"/>
  <c r="E52" i="6"/>
  <c r="B52" i="6"/>
  <c r="H51" i="6"/>
  <c r="E51" i="6"/>
  <c r="B51" i="6"/>
  <c r="H50" i="6"/>
  <c r="E50" i="6"/>
  <c r="B50" i="6"/>
  <c r="H49" i="6"/>
  <c r="E49" i="6"/>
  <c r="B49" i="6"/>
  <c r="H48" i="6"/>
  <c r="E48" i="6"/>
  <c r="B48" i="6"/>
  <c r="H47" i="6"/>
  <c r="E47" i="6"/>
  <c r="B47" i="6"/>
  <c r="H46" i="6"/>
  <c r="E46" i="6"/>
  <c r="B46" i="6"/>
  <c r="H45" i="6"/>
  <c r="E45" i="6"/>
  <c r="B45" i="6"/>
  <c r="H43" i="6"/>
  <c r="E43" i="6"/>
  <c r="B43" i="6"/>
  <c r="J42" i="6"/>
  <c r="I42" i="6"/>
  <c r="G42" i="6"/>
  <c r="F42" i="6"/>
  <c r="D42" i="6"/>
  <c r="C42" i="6"/>
  <c r="H41" i="6"/>
  <c r="B41" i="6"/>
  <c r="H40" i="6"/>
  <c r="B40" i="6"/>
  <c r="J38" i="6"/>
  <c r="I38" i="6"/>
  <c r="G38" i="6"/>
  <c r="F38" i="6"/>
  <c r="D38" i="6"/>
  <c r="C38" i="6"/>
  <c r="H37" i="6"/>
  <c r="E37" i="6"/>
  <c r="B37" i="6"/>
  <c r="A37" i="6"/>
  <c r="H36" i="6"/>
  <c r="E36" i="6"/>
  <c r="B36" i="6"/>
  <c r="H35" i="6"/>
  <c r="E35" i="6"/>
  <c r="B35" i="6"/>
  <c r="H34" i="6"/>
  <c r="E34" i="6"/>
  <c r="B34" i="6"/>
  <c r="H33" i="6"/>
  <c r="E33" i="6"/>
  <c r="B33" i="6"/>
  <c r="H32" i="6"/>
  <c r="E32" i="6"/>
  <c r="B32" i="6"/>
  <c r="H31" i="6"/>
  <c r="E31" i="6"/>
  <c r="B31" i="6"/>
  <c r="H30" i="6"/>
  <c r="E30" i="6"/>
  <c r="B30" i="6"/>
  <c r="H29" i="6"/>
  <c r="E29" i="6"/>
  <c r="B29" i="6"/>
  <c r="H27" i="6"/>
  <c r="E27" i="6"/>
  <c r="B27" i="6"/>
  <c r="J26" i="6"/>
  <c r="I26" i="6"/>
  <c r="G26" i="6"/>
  <c r="F26" i="6"/>
  <c r="D26" i="6"/>
  <c r="C26" i="6"/>
  <c r="H25" i="6"/>
  <c r="E25" i="6"/>
  <c r="B25" i="6"/>
  <c r="A25" i="6"/>
  <c r="H24" i="6"/>
  <c r="E24" i="6"/>
  <c r="B24" i="6"/>
  <c r="H23" i="6"/>
  <c r="E23" i="6"/>
  <c r="B23" i="6"/>
  <c r="H22" i="6"/>
  <c r="E22" i="6"/>
  <c r="B22" i="6"/>
  <c r="H21" i="6"/>
  <c r="E21" i="6"/>
  <c r="B21" i="6"/>
  <c r="H20" i="6"/>
  <c r="E20" i="6"/>
  <c r="B20" i="6"/>
  <c r="H19" i="6"/>
  <c r="E19" i="6"/>
  <c r="B19" i="6"/>
  <c r="H18" i="6"/>
  <c r="E18" i="6"/>
  <c r="B18" i="6"/>
  <c r="H17" i="6"/>
  <c r="E17" i="6"/>
  <c r="B17" i="6"/>
  <c r="H15" i="6"/>
  <c r="E15" i="6"/>
  <c r="B15" i="6"/>
  <c r="H14" i="6"/>
  <c r="E14" i="6"/>
  <c r="B14" i="6"/>
  <c r="H13" i="6"/>
  <c r="E13" i="6"/>
  <c r="B13" i="6"/>
  <c r="J11" i="6"/>
  <c r="I11" i="6"/>
  <c r="D11" i="6"/>
  <c r="C11" i="6"/>
  <c r="H10" i="6"/>
  <c r="E10" i="6"/>
  <c r="B10" i="6"/>
  <c r="H9" i="6"/>
  <c r="B9" i="6"/>
  <c r="D8" i="6"/>
  <c r="C8" i="6"/>
  <c r="B7" i="6"/>
  <c r="B6" i="6"/>
  <c r="B5" i="6"/>
  <c r="B4" i="6"/>
  <c r="B131" i="5"/>
  <c r="Q108" i="5"/>
  <c r="P108" i="5"/>
  <c r="O108" i="5"/>
  <c r="N108" i="5"/>
  <c r="M108" i="5"/>
  <c r="L108" i="5"/>
  <c r="K108" i="5"/>
  <c r="J108" i="5"/>
  <c r="I108" i="5"/>
  <c r="H108" i="5"/>
  <c r="G108" i="5"/>
  <c r="F108" i="5"/>
  <c r="E108" i="5"/>
  <c r="T104" i="5"/>
  <c r="H104" i="6" s="1"/>
  <c r="S104" i="5"/>
  <c r="E104" i="6" s="1"/>
  <c r="Q104" i="5"/>
  <c r="P104" i="5"/>
  <c r="O104" i="5"/>
  <c r="N104" i="5"/>
  <c r="M104" i="5"/>
  <c r="L104" i="5"/>
  <c r="K104" i="5"/>
  <c r="J104" i="5"/>
  <c r="I104" i="5"/>
  <c r="H104" i="5"/>
  <c r="G104" i="5"/>
  <c r="F104" i="5"/>
  <c r="E104" i="5"/>
  <c r="D104" i="5"/>
  <c r="C104" i="5"/>
  <c r="B104" i="6" s="1"/>
  <c r="R103" i="5"/>
  <c r="B103" i="5"/>
  <c r="R102" i="5"/>
  <c r="B102" i="5"/>
  <c r="R101" i="5"/>
  <c r="B101" i="5"/>
  <c r="R100" i="5"/>
  <c r="B100" i="5"/>
  <c r="R99" i="5"/>
  <c r="B99" i="5"/>
  <c r="T96" i="5"/>
  <c r="H96" i="6" s="1"/>
  <c r="S96" i="5"/>
  <c r="E96" i="6" s="1"/>
  <c r="Q96" i="5"/>
  <c r="P96" i="5"/>
  <c r="O96" i="5"/>
  <c r="N96" i="5"/>
  <c r="M96" i="5"/>
  <c r="L96" i="5"/>
  <c r="K96" i="5"/>
  <c r="J96" i="5"/>
  <c r="I96" i="5"/>
  <c r="H96" i="5"/>
  <c r="G96" i="5"/>
  <c r="F96" i="5"/>
  <c r="E96" i="5"/>
  <c r="D96" i="5"/>
  <c r="C96" i="5"/>
  <c r="B96" i="6" s="1"/>
  <c r="R95" i="5"/>
  <c r="B95" i="5"/>
  <c r="R94" i="5"/>
  <c r="B94" i="5"/>
  <c r="R93" i="5"/>
  <c r="B93" i="5"/>
  <c r="R92" i="5"/>
  <c r="B92" i="5"/>
  <c r="R91" i="5"/>
  <c r="B91" i="5"/>
  <c r="R90" i="5"/>
  <c r="B90" i="5"/>
  <c r="R89" i="5"/>
  <c r="B89" i="5"/>
  <c r="R88" i="5"/>
  <c r="B88" i="5"/>
  <c r="R87" i="5"/>
  <c r="B87" i="5"/>
  <c r="R86" i="5"/>
  <c r="B86" i="5"/>
  <c r="R85" i="5"/>
  <c r="B85" i="5"/>
  <c r="R84" i="5"/>
  <c r="B84" i="5"/>
  <c r="R83" i="5"/>
  <c r="B83" i="5"/>
  <c r="T81" i="5"/>
  <c r="H81" i="6" s="1"/>
  <c r="S81" i="5"/>
  <c r="E81" i="6" s="1"/>
  <c r="Q81" i="5"/>
  <c r="P81" i="5"/>
  <c r="O81" i="5"/>
  <c r="N81" i="5"/>
  <c r="M81" i="5"/>
  <c r="L81" i="5"/>
  <c r="K81" i="5"/>
  <c r="J81" i="5"/>
  <c r="I81" i="5"/>
  <c r="H81" i="5"/>
  <c r="G81" i="5"/>
  <c r="F81" i="5"/>
  <c r="E81" i="5"/>
  <c r="D81" i="5"/>
  <c r="C81" i="5"/>
  <c r="B81" i="6" s="1"/>
  <c r="R80" i="5"/>
  <c r="B80" i="5"/>
  <c r="R79" i="5"/>
  <c r="B79" i="5"/>
  <c r="Q77" i="5"/>
  <c r="P77" i="5"/>
  <c r="O77" i="5"/>
  <c r="N77" i="5"/>
  <c r="M77" i="5"/>
  <c r="L77" i="5"/>
  <c r="K77" i="5"/>
  <c r="J77" i="5"/>
  <c r="I77" i="5"/>
  <c r="H77" i="5"/>
  <c r="G77" i="5"/>
  <c r="F77" i="5"/>
  <c r="E77" i="5"/>
  <c r="D77" i="5"/>
  <c r="C77" i="5"/>
  <c r="B77" i="6" s="1"/>
  <c r="R76" i="5"/>
  <c r="B76" i="5"/>
  <c r="R75" i="5"/>
  <c r="B75" i="5"/>
  <c r="R74" i="5"/>
  <c r="B74" i="5"/>
  <c r="R73" i="5"/>
  <c r="B73" i="5"/>
  <c r="R72" i="5"/>
  <c r="B72" i="5"/>
  <c r="T70" i="5"/>
  <c r="H70" i="6" s="1"/>
  <c r="S70" i="5"/>
  <c r="Q70" i="5"/>
  <c r="P70" i="5"/>
  <c r="O70" i="5"/>
  <c r="N70" i="5"/>
  <c r="M70" i="5"/>
  <c r="L70" i="5"/>
  <c r="K70" i="5"/>
  <c r="J70" i="5"/>
  <c r="I70" i="5"/>
  <c r="H70" i="5"/>
  <c r="G70" i="5"/>
  <c r="F70" i="5"/>
  <c r="E70" i="5"/>
  <c r="D70" i="5"/>
  <c r="C70" i="5"/>
  <c r="R69" i="5"/>
  <c r="B69" i="5"/>
  <c r="R68" i="5"/>
  <c r="B68" i="5"/>
  <c r="R67" i="5"/>
  <c r="B67" i="5"/>
  <c r="R66" i="5"/>
  <c r="B66" i="5"/>
  <c r="R65" i="5"/>
  <c r="B65" i="5"/>
  <c r="Q62" i="5"/>
  <c r="P62" i="5"/>
  <c r="O62" i="5"/>
  <c r="N62" i="5"/>
  <c r="M62" i="5"/>
  <c r="L62" i="5"/>
  <c r="K62" i="5"/>
  <c r="J62" i="5"/>
  <c r="I62" i="5"/>
  <c r="H62" i="5"/>
  <c r="G62" i="5"/>
  <c r="F62" i="5"/>
  <c r="E62" i="5"/>
  <c r="D62" i="5"/>
  <c r="C62" i="5"/>
  <c r="R61" i="5"/>
  <c r="B61" i="5"/>
  <c r="R60" i="5"/>
  <c r="B60" i="5"/>
  <c r="R59" i="5"/>
  <c r="B59" i="5"/>
  <c r="R58" i="5"/>
  <c r="B58" i="5"/>
  <c r="R57" i="5"/>
  <c r="B57" i="5"/>
  <c r="R56" i="5"/>
  <c r="B56" i="5"/>
  <c r="T54" i="5"/>
  <c r="H54" i="6" s="1"/>
  <c r="S54" i="5"/>
  <c r="E54" i="6" s="1"/>
  <c r="Q54" i="5"/>
  <c r="P54" i="5"/>
  <c r="O54" i="5"/>
  <c r="N54" i="5"/>
  <c r="M54" i="5"/>
  <c r="L54" i="5"/>
  <c r="K54" i="5"/>
  <c r="J54" i="5"/>
  <c r="I54" i="5"/>
  <c r="H54" i="5"/>
  <c r="G54" i="5"/>
  <c r="F54" i="5"/>
  <c r="E54" i="5"/>
  <c r="D54" i="5"/>
  <c r="C54" i="5"/>
  <c r="R53" i="5"/>
  <c r="B53" i="5"/>
  <c r="R52" i="5"/>
  <c r="B52" i="5"/>
  <c r="R51" i="5"/>
  <c r="B51" i="5"/>
  <c r="R50" i="5"/>
  <c r="B50" i="5"/>
  <c r="R49" i="5"/>
  <c r="B49" i="5"/>
  <c r="R48" i="5"/>
  <c r="B48" i="5"/>
  <c r="R47" i="5"/>
  <c r="B47" i="5"/>
  <c r="R46" i="5"/>
  <c r="B46" i="5"/>
  <c r="R45" i="5"/>
  <c r="B45" i="5"/>
  <c r="R43" i="5"/>
  <c r="B43" i="5"/>
  <c r="T42" i="5"/>
  <c r="H42" i="6" s="1"/>
  <c r="Q42" i="5"/>
  <c r="P42" i="5"/>
  <c r="O42" i="5"/>
  <c r="N42" i="5"/>
  <c r="M42" i="5"/>
  <c r="L42" i="5"/>
  <c r="K42" i="5"/>
  <c r="J42" i="5"/>
  <c r="I42" i="5"/>
  <c r="H42" i="5"/>
  <c r="G42" i="5"/>
  <c r="F42" i="5"/>
  <c r="E42" i="5"/>
  <c r="D42" i="5"/>
  <c r="C42" i="5"/>
  <c r="B42" i="6" s="1"/>
  <c r="R41" i="5"/>
  <c r="B41" i="5"/>
  <c r="R40" i="5"/>
  <c r="S40" i="5" s="1"/>
  <c r="B40" i="5"/>
  <c r="T38" i="5"/>
  <c r="H38" i="6" s="1"/>
  <c r="S38" i="5"/>
  <c r="E38" i="6" s="1"/>
  <c r="Q38" i="5"/>
  <c r="P38" i="5"/>
  <c r="O38" i="5"/>
  <c r="N38" i="5"/>
  <c r="M38" i="5"/>
  <c r="L38" i="5"/>
  <c r="K38" i="5"/>
  <c r="J38" i="5"/>
  <c r="I38" i="5"/>
  <c r="H38" i="5"/>
  <c r="G38" i="5"/>
  <c r="F38" i="5"/>
  <c r="E38" i="5"/>
  <c r="D38" i="5"/>
  <c r="C38" i="5"/>
  <c r="B38" i="6" s="1"/>
  <c r="R37" i="5"/>
  <c r="B37" i="5"/>
  <c r="R36" i="5"/>
  <c r="B36" i="5"/>
  <c r="R35" i="5"/>
  <c r="B35" i="5"/>
  <c r="R34" i="5"/>
  <c r="B34" i="5"/>
  <c r="R33" i="5"/>
  <c r="B33" i="5"/>
  <c r="R32" i="5"/>
  <c r="B32" i="5"/>
  <c r="R31" i="5"/>
  <c r="B31" i="5"/>
  <c r="R30" i="5"/>
  <c r="B30" i="5"/>
  <c r="R29" i="5"/>
  <c r="B29" i="5"/>
  <c r="R27" i="5"/>
  <c r="B27" i="5"/>
  <c r="T26" i="5"/>
  <c r="H26" i="6" s="1"/>
  <c r="S26" i="5"/>
  <c r="E26" i="6" s="1"/>
  <c r="Q26" i="5"/>
  <c r="P26" i="5"/>
  <c r="O26" i="5"/>
  <c r="N26" i="5"/>
  <c r="M26" i="5"/>
  <c r="L26" i="5"/>
  <c r="K26" i="5"/>
  <c r="J26" i="5"/>
  <c r="I26" i="5"/>
  <c r="H26" i="5"/>
  <c r="G26" i="5"/>
  <c r="F26" i="5"/>
  <c r="E26" i="5"/>
  <c r="D26" i="5"/>
  <c r="C26" i="5"/>
  <c r="B26" i="6" s="1"/>
  <c r="R25" i="5"/>
  <c r="B25" i="5"/>
  <c r="R24" i="5"/>
  <c r="B24" i="5"/>
  <c r="R23" i="5"/>
  <c r="B23" i="5"/>
  <c r="R22" i="5"/>
  <c r="B22" i="5"/>
  <c r="R21" i="5"/>
  <c r="B21" i="5"/>
  <c r="R20" i="5"/>
  <c r="B20" i="5"/>
  <c r="R19" i="5"/>
  <c r="B19" i="5"/>
  <c r="R18" i="5"/>
  <c r="B18" i="5"/>
  <c r="R17" i="5"/>
  <c r="B17" i="5"/>
  <c r="R15" i="5"/>
  <c r="B15" i="5"/>
  <c r="AD209" i="9" s="1"/>
  <c r="R14" i="5"/>
  <c r="B14" i="5"/>
  <c r="R13" i="5"/>
  <c r="B13" i="5"/>
  <c r="T11" i="5"/>
  <c r="H11" i="6" s="1"/>
  <c r="Q11" i="5"/>
  <c r="O11" i="5"/>
  <c r="N11" i="5"/>
  <c r="M11" i="5"/>
  <c r="L11" i="5"/>
  <c r="K11" i="5"/>
  <c r="J11" i="5"/>
  <c r="I11" i="5"/>
  <c r="H11" i="5"/>
  <c r="F11" i="5"/>
  <c r="D11" i="5"/>
  <c r="C11" i="5"/>
  <c r="R10" i="5"/>
  <c r="B10" i="5"/>
  <c r="B9" i="5"/>
  <c r="Q8" i="5"/>
  <c r="O8" i="5"/>
  <c r="N8" i="5"/>
  <c r="M8" i="5"/>
  <c r="L8" i="5"/>
  <c r="K8" i="5"/>
  <c r="J8" i="5"/>
  <c r="I8" i="5"/>
  <c r="H8" i="5"/>
  <c r="G8" i="5"/>
  <c r="F8" i="5"/>
  <c r="E8" i="5"/>
  <c r="D8" i="5"/>
  <c r="C8" i="5"/>
  <c r="R7" i="5"/>
  <c r="B7" i="5"/>
  <c r="R6" i="5"/>
  <c r="B6" i="5"/>
  <c r="R5" i="5"/>
  <c r="B5" i="5"/>
  <c r="R4" i="5"/>
  <c r="B4" i="5"/>
  <c r="Q2" i="5"/>
  <c r="P2" i="5"/>
  <c r="O2" i="5"/>
  <c r="N2" i="5"/>
  <c r="M2" i="5"/>
  <c r="L2" i="5"/>
  <c r="K2" i="5"/>
  <c r="J2" i="5"/>
  <c r="I2" i="5"/>
  <c r="H2" i="5"/>
  <c r="G2" i="5"/>
  <c r="F2" i="5"/>
  <c r="BA1061" i="4"/>
  <c r="AZ1056" i="4"/>
  <c r="AZ1054" i="4"/>
  <c r="AZ1058" i="4" s="1"/>
  <c r="BA1050" i="4"/>
  <c r="AJ1050" i="4"/>
  <c r="BA1049" i="4"/>
  <c r="BA1047" i="4"/>
  <c r="AJ1041" i="4"/>
  <c r="AJ1038" i="4"/>
  <c r="AY1036" i="4"/>
  <c r="AF1035" i="4"/>
  <c r="AJ1034" i="4"/>
  <c r="AY1032" i="4"/>
  <c r="AY1031" i="4"/>
  <c r="AY1030" i="4"/>
  <c r="AF1030" i="4"/>
  <c r="AY1029" i="4"/>
  <c r="AJ1029" i="4"/>
  <c r="AY1028" i="4"/>
  <c r="AY1027" i="4"/>
  <c r="AY1026" i="4"/>
  <c r="AY1025" i="4"/>
  <c r="AJ1025" i="4"/>
  <c r="AY1024" i="4"/>
  <c r="AY1023" i="4"/>
  <c r="AY1022" i="4"/>
  <c r="AJ1022" i="4"/>
  <c r="AJ1020" i="4"/>
  <c r="AJ1016" i="4"/>
  <c r="AJ1010" i="4"/>
  <c r="AJ1003" i="4"/>
  <c r="AW927" i="4"/>
  <c r="AG927" i="4" s="1"/>
  <c r="Z911" i="4"/>
  <c r="W888" i="4"/>
  <c r="E21" i="12" s="1"/>
  <c r="G21" i="12" s="1"/>
  <c r="I21" i="12" s="1"/>
  <c r="K21" i="12" s="1"/>
  <c r="M21" i="12" s="1"/>
  <c r="O21" i="12" s="1"/>
  <c r="Q21" i="12" s="1"/>
  <c r="S21" i="12" s="1"/>
  <c r="U21" i="12" s="1"/>
  <c r="W21" i="12" s="1"/>
  <c r="Y21" i="12" s="1"/>
  <c r="AA21" i="12" s="1"/>
  <c r="AC21" i="12" s="1"/>
  <c r="AE21" i="12" s="1"/>
  <c r="AG21" i="12" s="1"/>
  <c r="W881" i="4"/>
  <c r="E20" i="12" s="1"/>
  <c r="G20" i="12" s="1"/>
  <c r="I20" i="12" s="1"/>
  <c r="K20" i="12" s="1"/>
  <c r="M20" i="12" s="1"/>
  <c r="O20" i="12" s="1"/>
  <c r="Q20" i="12" s="1"/>
  <c r="S20" i="12" s="1"/>
  <c r="U20" i="12" s="1"/>
  <c r="W20" i="12" s="1"/>
  <c r="Y20" i="12" s="1"/>
  <c r="AA20" i="12" s="1"/>
  <c r="AC20" i="12" s="1"/>
  <c r="AE20" i="12" s="1"/>
  <c r="AG20" i="12" s="1"/>
  <c r="W870" i="4"/>
  <c r="E18" i="12" s="1"/>
  <c r="G18" i="12" s="1"/>
  <c r="I18" i="12" s="1"/>
  <c r="K18" i="12" s="1"/>
  <c r="M18" i="12" s="1"/>
  <c r="O18" i="12" s="1"/>
  <c r="Q18" i="12" s="1"/>
  <c r="S18" i="12" s="1"/>
  <c r="U18" i="12" s="1"/>
  <c r="W18" i="12" s="1"/>
  <c r="Y18" i="12" s="1"/>
  <c r="AA18" i="12" s="1"/>
  <c r="AC18" i="12" s="1"/>
  <c r="AE18" i="12" s="1"/>
  <c r="AG18" i="12" s="1"/>
  <c r="W863" i="4"/>
  <c r="E17" i="12" s="1"/>
  <c r="G17" i="12" s="1"/>
  <c r="I17" i="12" s="1"/>
  <c r="K17" i="12" s="1"/>
  <c r="M17" i="12" s="1"/>
  <c r="O17" i="12" s="1"/>
  <c r="Q17" i="12" s="1"/>
  <c r="S17" i="12" s="1"/>
  <c r="U17" i="12" s="1"/>
  <c r="W17" i="12" s="1"/>
  <c r="Y17" i="12" s="1"/>
  <c r="AA17" i="12" s="1"/>
  <c r="AC17" i="12" s="1"/>
  <c r="AE17" i="12" s="1"/>
  <c r="AG17" i="12" s="1"/>
  <c r="W855" i="4"/>
  <c r="E15" i="12" s="1"/>
  <c r="AG840" i="4"/>
  <c r="AC840" i="4"/>
  <c r="Y840" i="4"/>
  <c r="U840" i="4"/>
  <c r="Q840" i="4"/>
  <c r="M840" i="4"/>
  <c r="Z825" i="4"/>
  <c r="E8" i="12" s="1"/>
  <c r="O805" i="4"/>
  <c r="C806" i="4" s="1"/>
  <c r="DO804" i="4"/>
  <c r="ET804" i="4" s="1"/>
  <c r="DJ804" i="4"/>
  <c r="EO804" i="4" s="1"/>
  <c r="DE804" i="4"/>
  <c r="EJ804" i="4" s="1"/>
  <c r="CZ804" i="4"/>
  <c r="EE804" i="4" s="1"/>
  <c r="CU804" i="4"/>
  <c r="DZ804" i="4" s="1"/>
  <c r="CP804" i="4"/>
  <c r="DU804" i="4" s="1"/>
  <c r="AC804" i="4"/>
  <c r="DO803" i="4"/>
  <c r="ET803" i="4" s="1"/>
  <c r="DJ803" i="4"/>
  <c r="EO803" i="4" s="1"/>
  <c r="DE803" i="4"/>
  <c r="EJ803" i="4" s="1"/>
  <c r="CZ803" i="4"/>
  <c r="EE803" i="4" s="1"/>
  <c r="CU803" i="4"/>
  <c r="DZ803" i="4" s="1"/>
  <c r="CP803" i="4"/>
  <c r="DU803" i="4" s="1"/>
  <c r="AC803" i="4"/>
  <c r="DO802" i="4"/>
  <c r="ET802" i="4" s="1"/>
  <c r="DJ802" i="4"/>
  <c r="EO802" i="4" s="1"/>
  <c r="DE802" i="4"/>
  <c r="EJ802" i="4" s="1"/>
  <c r="CZ802" i="4"/>
  <c r="EE802" i="4" s="1"/>
  <c r="CU802" i="4"/>
  <c r="DZ802" i="4" s="1"/>
  <c r="CP802" i="4"/>
  <c r="DU802" i="4" s="1"/>
  <c r="AC802" i="4"/>
  <c r="DO801" i="4"/>
  <c r="ET801" i="4" s="1"/>
  <c r="DJ801" i="4"/>
  <c r="EO801" i="4" s="1"/>
  <c r="DE801" i="4"/>
  <c r="EJ801" i="4" s="1"/>
  <c r="CZ801" i="4"/>
  <c r="EE801" i="4" s="1"/>
  <c r="CU801" i="4"/>
  <c r="DZ801" i="4" s="1"/>
  <c r="CP801" i="4"/>
  <c r="DU801" i="4" s="1"/>
  <c r="AC801" i="4"/>
  <c r="DO800" i="4"/>
  <c r="ET800" i="4" s="1"/>
  <c r="DJ800" i="4"/>
  <c r="EO800" i="4" s="1"/>
  <c r="DE800" i="4"/>
  <c r="EJ800" i="4" s="1"/>
  <c r="CZ800" i="4"/>
  <c r="EE800" i="4" s="1"/>
  <c r="CU800" i="4"/>
  <c r="DZ800" i="4" s="1"/>
  <c r="CP800" i="4"/>
  <c r="DU800" i="4" s="1"/>
  <c r="AC800" i="4"/>
  <c r="DO799" i="4"/>
  <c r="ET799" i="4" s="1"/>
  <c r="DJ799" i="4"/>
  <c r="EO799" i="4" s="1"/>
  <c r="DE799" i="4"/>
  <c r="EJ799" i="4" s="1"/>
  <c r="CZ799" i="4"/>
  <c r="EE799" i="4" s="1"/>
  <c r="CU799" i="4"/>
  <c r="DZ799" i="4" s="1"/>
  <c r="CP799" i="4"/>
  <c r="DU799" i="4" s="1"/>
  <c r="AC799" i="4"/>
  <c r="DO798" i="4"/>
  <c r="ET798" i="4" s="1"/>
  <c r="DJ798" i="4"/>
  <c r="EO798" i="4" s="1"/>
  <c r="DE798" i="4"/>
  <c r="EJ798" i="4" s="1"/>
  <c r="CZ798" i="4"/>
  <c r="EE798" i="4" s="1"/>
  <c r="CU798" i="4"/>
  <c r="DZ798" i="4" s="1"/>
  <c r="CP798" i="4"/>
  <c r="DU798" i="4" s="1"/>
  <c r="AC798" i="4"/>
  <c r="DO797" i="4"/>
  <c r="ET797" i="4" s="1"/>
  <c r="DJ797" i="4"/>
  <c r="EO797" i="4" s="1"/>
  <c r="DE797" i="4"/>
  <c r="EJ797" i="4" s="1"/>
  <c r="CZ797" i="4"/>
  <c r="EE797" i="4" s="1"/>
  <c r="CU797" i="4"/>
  <c r="DZ797" i="4" s="1"/>
  <c r="CP797" i="4"/>
  <c r="DU797" i="4" s="1"/>
  <c r="AC797" i="4"/>
  <c r="DO796" i="4"/>
  <c r="ET796" i="4" s="1"/>
  <c r="DJ796" i="4"/>
  <c r="EO796" i="4" s="1"/>
  <c r="DE796" i="4"/>
  <c r="EJ796" i="4" s="1"/>
  <c r="CZ796" i="4"/>
  <c r="EE796" i="4" s="1"/>
  <c r="CU796" i="4"/>
  <c r="DZ796" i="4" s="1"/>
  <c r="CP796" i="4"/>
  <c r="DU796" i="4" s="1"/>
  <c r="AC796" i="4"/>
  <c r="DO795" i="4"/>
  <c r="ET795" i="4" s="1"/>
  <c r="DJ795" i="4"/>
  <c r="DE795" i="4"/>
  <c r="EJ795" i="4" s="1"/>
  <c r="CZ795" i="4"/>
  <c r="EE795" i="4" s="1"/>
  <c r="CU795" i="4"/>
  <c r="CP795" i="4"/>
  <c r="DU795" i="4" s="1"/>
  <c r="AC795" i="4"/>
  <c r="O785" i="4"/>
  <c r="DO784" i="4"/>
  <c r="DJ784" i="4"/>
  <c r="DE784" i="4"/>
  <c r="CZ784" i="4"/>
  <c r="CU784" i="4"/>
  <c r="CP784" i="4"/>
  <c r="AC784" i="4"/>
  <c r="DO783" i="4"/>
  <c r="DJ783" i="4"/>
  <c r="DE783" i="4"/>
  <c r="CZ783" i="4"/>
  <c r="CU783" i="4"/>
  <c r="CP783" i="4"/>
  <c r="AC783" i="4"/>
  <c r="DO782" i="4"/>
  <c r="DJ782" i="4"/>
  <c r="DE782" i="4"/>
  <c r="CZ782" i="4"/>
  <c r="CU782" i="4"/>
  <c r="CP782" i="4"/>
  <c r="AC782" i="4"/>
  <c r="DO781" i="4"/>
  <c r="DJ781" i="4"/>
  <c r="DE781" i="4"/>
  <c r="CZ781" i="4"/>
  <c r="CU781" i="4"/>
  <c r="CP781" i="4"/>
  <c r="AC781" i="4"/>
  <c r="O761" i="4"/>
  <c r="G761" i="4"/>
  <c r="ET760" i="4"/>
  <c r="EO760" i="4"/>
  <c r="EJ760" i="4"/>
  <c r="EE760" i="4"/>
  <c r="DZ760" i="4"/>
  <c r="DU760" i="4"/>
  <c r="DO760" i="4"/>
  <c r="FY760" i="4" s="1"/>
  <c r="DJ760" i="4"/>
  <c r="FT760" i="4" s="1"/>
  <c r="DE760" i="4"/>
  <c r="FO760" i="4" s="1"/>
  <c r="CZ760" i="4"/>
  <c r="FJ760" i="4" s="1"/>
  <c r="CU760" i="4"/>
  <c r="FE760" i="4" s="1"/>
  <c r="CP760" i="4"/>
  <c r="EZ760" i="4" s="1"/>
  <c r="CK760" i="4"/>
  <c r="CM760" i="4" s="1"/>
  <c r="CG760" i="4"/>
  <c r="CI760" i="4" s="1"/>
  <c r="BS760" i="4"/>
  <c r="BF760" i="4"/>
  <c r="AZ760" i="4"/>
  <c r="AH760" i="4"/>
  <c r="X760" i="4"/>
  <c r="ET759" i="4"/>
  <c r="EO759" i="4"/>
  <c r="EJ759" i="4"/>
  <c r="EE759" i="4"/>
  <c r="DZ759" i="4"/>
  <c r="DU759" i="4"/>
  <c r="DO759" i="4"/>
  <c r="FY759" i="4" s="1"/>
  <c r="DJ759" i="4"/>
  <c r="FT759" i="4" s="1"/>
  <c r="DE759" i="4"/>
  <c r="FO759" i="4" s="1"/>
  <c r="CZ759" i="4"/>
  <c r="FJ759" i="4" s="1"/>
  <c r="CU759" i="4"/>
  <c r="FE759" i="4" s="1"/>
  <c r="CP759" i="4"/>
  <c r="EZ759" i="4" s="1"/>
  <c r="CK759" i="4"/>
  <c r="CM759" i="4" s="1"/>
  <c r="CG759" i="4"/>
  <c r="CI759" i="4" s="1"/>
  <c r="BS759" i="4"/>
  <c r="BF759" i="4"/>
  <c r="AZ759" i="4"/>
  <c r="AH759" i="4"/>
  <c r="X759" i="4"/>
  <c r="ET758" i="4"/>
  <c r="EO758" i="4"/>
  <c r="EJ758" i="4"/>
  <c r="EE758" i="4"/>
  <c r="DZ758" i="4"/>
  <c r="DU758" i="4"/>
  <c r="DO758" i="4"/>
  <c r="FY758" i="4" s="1"/>
  <c r="DJ758" i="4"/>
  <c r="FT758" i="4" s="1"/>
  <c r="DE758" i="4"/>
  <c r="FO758" i="4" s="1"/>
  <c r="CZ758" i="4"/>
  <c r="FJ758" i="4" s="1"/>
  <c r="CU758" i="4"/>
  <c r="FE758" i="4" s="1"/>
  <c r="CP758" i="4"/>
  <c r="EZ758" i="4" s="1"/>
  <c r="CK758" i="4"/>
  <c r="CM758" i="4" s="1"/>
  <c r="CG758" i="4"/>
  <c r="CI758" i="4" s="1"/>
  <c r="BS758" i="4"/>
  <c r="BF758" i="4"/>
  <c r="AZ758" i="4"/>
  <c r="AH758" i="4"/>
  <c r="X758" i="4"/>
  <c r="ET757" i="4"/>
  <c r="EO757" i="4"/>
  <c r="EJ757" i="4"/>
  <c r="EE757" i="4"/>
  <c r="DZ757" i="4"/>
  <c r="DU757" i="4"/>
  <c r="DO757" i="4"/>
  <c r="FY757" i="4" s="1"/>
  <c r="DJ757" i="4"/>
  <c r="FT757" i="4" s="1"/>
  <c r="DE757" i="4"/>
  <c r="FO757" i="4" s="1"/>
  <c r="CZ757" i="4"/>
  <c r="FJ757" i="4" s="1"/>
  <c r="CU757" i="4"/>
  <c r="FE757" i="4" s="1"/>
  <c r="CP757" i="4"/>
  <c r="EZ757" i="4" s="1"/>
  <c r="CK757" i="4"/>
  <c r="CM757" i="4" s="1"/>
  <c r="CG757" i="4"/>
  <c r="CI757" i="4" s="1"/>
  <c r="BS757" i="4"/>
  <c r="BF757" i="4"/>
  <c r="AZ757" i="4"/>
  <c r="AH757" i="4"/>
  <c r="X757" i="4"/>
  <c r="ET756" i="4"/>
  <c r="EO756" i="4"/>
  <c r="EJ756" i="4"/>
  <c r="EE756" i="4"/>
  <c r="DZ756" i="4"/>
  <c r="DU756" i="4"/>
  <c r="DO756" i="4"/>
  <c r="FY756" i="4" s="1"/>
  <c r="DJ756" i="4"/>
  <c r="FT756" i="4" s="1"/>
  <c r="DE756" i="4"/>
  <c r="FO756" i="4" s="1"/>
  <c r="CZ756" i="4"/>
  <c r="FJ756" i="4" s="1"/>
  <c r="CU756" i="4"/>
  <c r="FE756" i="4" s="1"/>
  <c r="CP756" i="4"/>
  <c r="EZ756" i="4" s="1"/>
  <c r="CK756" i="4"/>
  <c r="CM756" i="4" s="1"/>
  <c r="CG756" i="4"/>
  <c r="CI756" i="4" s="1"/>
  <c r="BS756" i="4"/>
  <c r="BF756" i="4"/>
  <c r="AZ756" i="4"/>
  <c r="AH756" i="4"/>
  <c r="X756" i="4"/>
  <c r="ET755" i="4"/>
  <c r="EO755" i="4"/>
  <c r="EJ755" i="4"/>
  <c r="EE755" i="4"/>
  <c r="DZ755" i="4"/>
  <c r="DU755" i="4"/>
  <c r="DO755" i="4"/>
  <c r="FY755" i="4" s="1"/>
  <c r="DJ755" i="4"/>
  <c r="FT755" i="4" s="1"/>
  <c r="DE755" i="4"/>
  <c r="FO755" i="4" s="1"/>
  <c r="CZ755" i="4"/>
  <c r="FJ755" i="4" s="1"/>
  <c r="CU755" i="4"/>
  <c r="FE755" i="4" s="1"/>
  <c r="CP755" i="4"/>
  <c r="EZ755" i="4" s="1"/>
  <c r="CK755" i="4"/>
  <c r="CM755" i="4" s="1"/>
  <c r="CG755" i="4"/>
  <c r="CI755" i="4" s="1"/>
  <c r="BS755" i="4"/>
  <c r="BF755" i="4"/>
  <c r="AZ755" i="4"/>
  <c r="AH755" i="4"/>
  <c r="X755" i="4"/>
  <c r="ET754" i="4"/>
  <c r="EO754" i="4"/>
  <c r="EJ754" i="4"/>
  <c r="EE754" i="4"/>
  <c r="DZ754" i="4"/>
  <c r="DU754" i="4"/>
  <c r="DO754" i="4"/>
  <c r="FY754" i="4" s="1"/>
  <c r="DJ754" i="4"/>
  <c r="FT754" i="4" s="1"/>
  <c r="DE754" i="4"/>
  <c r="FO754" i="4" s="1"/>
  <c r="CZ754" i="4"/>
  <c r="FJ754" i="4" s="1"/>
  <c r="CU754" i="4"/>
  <c r="FE754" i="4" s="1"/>
  <c r="CP754" i="4"/>
  <c r="EZ754" i="4" s="1"/>
  <c r="CK754" i="4"/>
  <c r="CM754" i="4" s="1"/>
  <c r="CG754" i="4"/>
  <c r="CI754" i="4" s="1"/>
  <c r="BS754" i="4"/>
  <c r="BF754" i="4"/>
  <c r="AZ754" i="4"/>
  <c r="AH754" i="4"/>
  <c r="X754" i="4"/>
  <c r="ET753" i="4"/>
  <c r="EO753" i="4"/>
  <c r="EJ753" i="4"/>
  <c r="EE753" i="4"/>
  <c r="DZ753" i="4"/>
  <c r="DU753" i="4"/>
  <c r="DO753" i="4"/>
  <c r="FY753" i="4" s="1"/>
  <c r="DJ753" i="4"/>
  <c r="FT753" i="4" s="1"/>
  <c r="DE753" i="4"/>
  <c r="FO753" i="4" s="1"/>
  <c r="CZ753" i="4"/>
  <c r="FJ753" i="4" s="1"/>
  <c r="CU753" i="4"/>
  <c r="FE753" i="4" s="1"/>
  <c r="CP753" i="4"/>
  <c r="EZ753" i="4" s="1"/>
  <c r="CK753" i="4"/>
  <c r="CM753" i="4" s="1"/>
  <c r="CG753" i="4"/>
  <c r="CI753" i="4" s="1"/>
  <c r="BS753" i="4"/>
  <c r="BF753" i="4"/>
  <c r="AZ753" i="4"/>
  <c r="AH753" i="4"/>
  <c r="X753" i="4"/>
  <c r="ET752" i="4"/>
  <c r="EO752" i="4"/>
  <c r="EJ752" i="4"/>
  <c r="EE752" i="4"/>
  <c r="DZ752" i="4"/>
  <c r="DU752" i="4"/>
  <c r="DO752" i="4"/>
  <c r="FY752" i="4" s="1"/>
  <c r="DJ752" i="4"/>
  <c r="FT752" i="4" s="1"/>
  <c r="DE752" i="4"/>
  <c r="FO752" i="4" s="1"/>
  <c r="CZ752" i="4"/>
  <c r="FJ752" i="4" s="1"/>
  <c r="CU752" i="4"/>
  <c r="FE752" i="4" s="1"/>
  <c r="CP752" i="4"/>
  <c r="EZ752" i="4" s="1"/>
  <c r="CK752" i="4"/>
  <c r="CM752" i="4" s="1"/>
  <c r="CG752" i="4"/>
  <c r="CI752" i="4" s="1"/>
  <c r="BS752" i="4"/>
  <c r="BF752" i="4"/>
  <c r="AZ752" i="4"/>
  <c r="AH752" i="4"/>
  <c r="X752" i="4"/>
  <c r="ET751" i="4"/>
  <c r="EO751" i="4"/>
  <c r="EJ751" i="4"/>
  <c r="EE751" i="4"/>
  <c r="DZ751" i="4"/>
  <c r="DU751" i="4"/>
  <c r="DO751" i="4"/>
  <c r="FY751" i="4" s="1"/>
  <c r="DJ751" i="4"/>
  <c r="FT751" i="4" s="1"/>
  <c r="DE751" i="4"/>
  <c r="FO751" i="4" s="1"/>
  <c r="CZ751" i="4"/>
  <c r="FJ751" i="4" s="1"/>
  <c r="CU751" i="4"/>
  <c r="FE751" i="4" s="1"/>
  <c r="CP751" i="4"/>
  <c r="EZ751" i="4" s="1"/>
  <c r="CK751" i="4"/>
  <c r="CM751" i="4" s="1"/>
  <c r="CG751" i="4"/>
  <c r="CI751" i="4" s="1"/>
  <c r="BS751" i="4"/>
  <c r="BF751" i="4"/>
  <c r="AZ751" i="4"/>
  <c r="AH751" i="4"/>
  <c r="X751" i="4"/>
  <c r="ET750" i="4"/>
  <c r="EO750" i="4"/>
  <c r="EJ750" i="4"/>
  <c r="EE750" i="4"/>
  <c r="DZ750" i="4"/>
  <c r="DU750" i="4"/>
  <c r="DO750" i="4"/>
  <c r="FY750" i="4" s="1"/>
  <c r="DJ750" i="4"/>
  <c r="FT750" i="4" s="1"/>
  <c r="DE750" i="4"/>
  <c r="FO750" i="4" s="1"/>
  <c r="CZ750" i="4"/>
  <c r="FJ750" i="4" s="1"/>
  <c r="CU750" i="4"/>
  <c r="FE750" i="4" s="1"/>
  <c r="CP750" i="4"/>
  <c r="EZ750" i="4" s="1"/>
  <c r="CK750" i="4"/>
  <c r="CM750" i="4" s="1"/>
  <c r="CG750" i="4"/>
  <c r="CI750" i="4" s="1"/>
  <c r="BS750" i="4"/>
  <c r="BF750" i="4"/>
  <c r="AZ750" i="4"/>
  <c r="X750" i="4"/>
  <c r="ET749" i="4"/>
  <c r="EO749" i="4"/>
  <c r="EJ749" i="4"/>
  <c r="EE749" i="4"/>
  <c r="DZ749" i="4"/>
  <c r="DU749" i="4"/>
  <c r="DO749" i="4"/>
  <c r="FY749" i="4" s="1"/>
  <c r="DJ749" i="4"/>
  <c r="FT749" i="4" s="1"/>
  <c r="DE749" i="4"/>
  <c r="FO749" i="4" s="1"/>
  <c r="CZ749" i="4"/>
  <c r="FJ749" i="4" s="1"/>
  <c r="CU749" i="4"/>
  <c r="FE749" i="4" s="1"/>
  <c r="CP749" i="4"/>
  <c r="EZ749" i="4" s="1"/>
  <c r="CK749" i="4"/>
  <c r="CM749" i="4" s="1"/>
  <c r="CG749" i="4"/>
  <c r="CI749" i="4" s="1"/>
  <c r="BS749" i="4"/>
  <c r="BF749" i="4"/>
  <c r="AZ749" i="4"/>
  <c r="AH749" i="4" s="1"/>
  <c r="X749" i="4"/>
  <c r="ET748" i="4"/>
  <c r="EO748" i="4"/>
  <c r="EJ748" i="4"/>
  <c r="EE748" i="4"/>
  <c r="DZ748" i="4"/>
  <c r="DU748" i="4"/>
  <c r="DO748" i="4"/>
  <c r="FY748" i="4" s="1"/>
  <c r="DJ748" i="4"/>
  <c r="FT748" i="4" s="1"/>
  <c r="DE748" i="4"/>
  <c r="FO748" i="4" s="1"/>
  <c r="CZ748" i="4"/>
  <c r="FJ748" i="4" s="1"/>
  <c r="CU748" i="4"/>
  <c r="FE748" i="4" s="1"/>
  <c r="CP748" i="4"/>
  <c r="EZ748" i="4" s="1"/>
  <c r="CK748" i="4"/>
  <c r="CM748" i="4" s="1"/>
  <c r="CG748" i="4"/>
  <c r="CI748" i="4" s="1"/>
  <c r="BS748" i="4"/>
  <c r="BF748" i="4"/>
  <c r="AZ748" i="4"/>
  <c r="X748" i="4"/>
  <c r="ET747" i="4"/>
  <c r="EO747" i="4"/>
  <c r="EJ747" i="4"/>
  <c r="EE747" i="4"/>
  <c r="DZ747" i="4"/>
  <c r="DU747" i="4"/>
  <c r="DO747" i="4"/>
  <c r="FY747" i="4" s="1"/>
  <c r="DJ747" i="4"/>
  <c r="FT747" i="4" s="1"/>
  <c r="DE747" i="4"/>
  <c r="FO747" i="4" s="1"/>
  <c r="CZ747" i="4"/>
  <c r="FJ747" i="4" s="1"/>
  <c r="CU747" i="4"/>
  <c r="FE747" i="4" s="1"/>
  <c r="CP747" i="4"/>
  <c r="EZ747" i="4" s="1"/>
  <c r="CK747" i="4"/>
  <c r="CM747" i="4" s="1"/>
  <c r="CG747" i="4"/>
  <c r="CI747" i="4" s="1"/>
  <c r="BS747" i="4"/>
  <c r="BF747" i="4"/>
  <c r="AZ747" i="4"/>
  <c r="X747" i="4"/>
  <c r="ET746" i="4"/>
  <c r="EO746" i="4"/>
  <c r="EJ746" i="4"/>
  <c r="EE746" i="4"/>
  <c r="DZ746" i="4"/>
  <c r="DU746" i="4"/>
  <c r="DO746" i="4"/>
  <c r="FY746" i="4" s="1"/>
  <c r="DJ746" i="4"/>
  <c r="FT746" i="4" s="1"/>
  <c r="DE746" i="4"/>
  <c r="FO746" i="4" s="1"/>
  <c r="CZ746" i="4"/>
  <c r="FJ746" i="4" s="1"/>
  <c r="CU746" i="4"/>
  <c r="FE746" i="4" s="1"/>
  <c r="CP746" i="4"/>
  <c r="EZ746" i="4" s="1"/>
  <c r="CK746" i="4"/>
  <c r="CM746" i="4" s="1"/>
  <c r="CG746" i="4"/>
  <c r="CI746" i="4" s="1"/>
  <c r="BS746" i="4"/>
  <c r="BF746" i="4"/>
  <c r="AZ746" i="4"/>
  <c r="X746" i="4"/>
  <c r="ET745" i="4"/>
  <c r="EO745" i="4"/>
  <c r="EJ745" i="4"/>
  <c r="EE745" i="4"/>
  <c r="DZ745" i="4"/>
  <c r="DU745" i="4"/>
  <c r="DO745" i="4"/>
  <c r="FY745" i="4" s="1"/>
  <c r="DJ745" i="4"/>
  <c r="FT745" i="4" s="1"/>
  <c r="DE745" i="4"/>
  <c r="FO745" i="4" s="1"/>
  <c r="CZ745" i="4"/>
  <c r="FJ745" i="4" s="1"/>
  <c r="CU745" i="4"/>
  <c r="FE745" i="4" s="1"/>
  <c r="CP745" i="4"/>
  <c r="EZ745" i="4" s="1"/>
  <c r="CK745" i="4"/>
  <c r="CM745" i="4" s="1"/>
  <c r="CG745" i="4"/>
  <c r="CI745" i="4" s="1"/>
  <c r="BS745" i="4"/>
  <c r="BF745" i="4"/>
  <c r="AZ745" i="4"/>
  <c r="X745" i="4"/>
  <c r="ET744" i="4"/>
  <c r="EO744" i="4"/>
  <c r="EJ744" i="4"/>
  <c r="EE744" i="4"/>
  <c r="DZ744" i="4"/>
  <c r="DU744" i="4"/>
  <c r="DO744" i="4"/>
  <c r="FY744" i="4" s="1"/>
  <c r="DJ744" i="4"/>
  <c r="FT744" i="4" s="1"/>
  <c r="DE744" i="4"/>
  <c r="FO744" i="4" s="1"/>
  <c r="CZ744" i="4"/>
  <c r="FJ744" i="4" s="1"/>
  <c r="CU744" i="4"/>
  <c r="FE744" i="4" s="1"/>
  <c r="CP744" i="4"/>
  <c r="EZ744" i="4" s="1"/>
  <c r="CK744" i="4"/>
  <c r="CM744" i="4" s="1"/>
  <c r="CG744" i="4"/>
  <c r="CI744" i="4" s="1"/>
  <c r="BS744" i="4"/>
  <c r="BF744" i="4"/>
  <c r="AZ744" i="4"/>
  <c r="X744" i="4"/>
  <c r="ET743" i="4"/>
  <c r="EO743" i="4"/>
  <c r="EJ743" i="4"/>
  <c r="EE743" i="4"/>
  <c r="DZ743" i="4"/>
  <c r="DU743" i="4"/>
  <c r="DO743" i="4"/>
  <c r="FY743" i="4" s="1"/>
  <c r="DJ743" i="4"/>
  <c r="FT743" i="4" s="1"/>
  <c r="DE743" i="4"/>
  <c r="FO743" i="4" s="1"/>
  <c r="CZ743" i="4"/>
  <c r="FJ743" i="4" s="1"/>
  <c r="CU743" i="4"/>
  <c r="FE743" i="4" s="1"/>
  <c r="CP743" i="4"/>
  <c r="EZ743" i="4" s="1"/>
  <c r="CK743" i="4"/>
  <c r="CM743" i="4" s="1"/>
  <c r="CG743" i="4"/>
  <c r="CI743" i="4" s="1"/>
  <c r="BS743" i="4"/>
  <c r="BF743" i="4"/>
  <c r="AZ743" i="4"/>
  <c r="X743" i="4"/>
  <c r="ET742" i="4"/>
  <c r="EO742" i="4"/>
  <c r="EJ742" i="4"/>
  <c r="EE742" i="4"/>
  <c r="DZ742" i="4"/>
  <c r="DU742" i="4"/>
  <c r="DO742" i="4"/>
  <c r="FY742" i="4" s="1"/>
  <c r="DJ742" i="4"/>
  <c r="FT742" i="4" s="1"/>
  <c r="DE742" i="4"/>
  <c r="FO742" i="4" s="1"/>
  <c r="CZ742" i="4"/>
  <c r="FJ742" i="4" s="1"/>
  <c r="CU742" i="4"/>
  <c r="FE742" i="4" s="1"/>
  <c r="CP742" i="4"/>
  <c r="EZ742" i="4" s="1"/>
  <c r="CK742" i="4"/>
  <c r="CM742" i="4" s="1"/>
  <c r="CG742" i="4"/>
  <c r="CI742" i="4" s="1"/>
  <c r="BS742" i="4"/>
  <c r="BF742" i="4"/>
  <c r="AZ742" i="4"/>
  <c r="X742" i="4"/>
  <c r="ET741" i="4"/>
  <c r="EO741" i="4"/>
  <c r="EJ741" i="4"/>
  <c r="EE741" i="4"/>
  <c r="DZ741" i="4"/>
  <c r="DU741" i="4"/>
  <c r="DO741" i="4"/>
  <c r="FY741" i="4" s="1"/>
  <c r="DJ741" i="4"/>
  <c r="FT741" i="4" s="1"/>
  <c r="DE741" i="4"/>
  <c r="FO741" i="4" s="1"/>
  <c r="CZ741" i="4"/>
  <c r="FJ741" i="4" s="1"/>
  <c r="CU741" i="4"/>
  <c r="FE741" i="4" s="1"/>
  <c r="CP741" i="4"/>
  <c r="EZ741" i="4" s="1"/>
  <c r="CK741" i="4"/>
  <c r="CM741" i="4" s="1"/>
  <c r="CG741" i="4"/>
  <c r="CI741" i="4" s="1"/>
  <c r="BS741" i="4"/>
  <c r="BF741" i="4"/>
  <c r="AZ741" i="4"/>
  <c r="X741" i="4"/>
  <c r="ET740" i="4"/>
  <c r="EO740" i="4"/>
  <c r="EJ740" i="4"/>
  <c r="EE740" i="4"/>
  <c r="DZ740" i="4"/>
  <c r="DU740" i="4"/>
  <c r="DO740" i="4"/>
  <c r="FY740" i="4" s="1"/>
  <c r="DJ740" i="4"/>
  <c r="FT740" i="4" s="1"/>
  <c r="DE740" i="4"/>
  <c r="FO740" i="4" s="1"/>
  <c r="CZ740" i="4"/>
  <c r="FJ740" i="4" s="1"/>
  <c r="CU740" i="4"/>
  <c r="FE740" i="4" s="1"/>
  <c r="CP740" i="4"/>
  <c r="EZ740" i="4" s="1"/>
  <c r="CK740" i="4"/>
  <c r="CM740" i="4" s="1"/>
  <c r="CG740" i="4"/>
  <c r="CI740" i="4" s="1"/>
  <c r="BS740" i="4"/>
  <c r="BF740" i="4"/>
  <c r="AZ740" i="4"/>
  <c r="X740" i="4"/>
  <c r="ET739" i="4"/>
  <c r="EO739" i="4"/>
  <c r="EJ739" i="4"/>
  <c r="EE739" i="4"/>
  <c r="DZ739" i="4"/>
  <c r="DU739" i="4"/>
  <c r="DO739" i="4"/>
  <c r="FY739" i="4" s="1"/>
  <c r="DJ739" i="4"/>
  <c r="FT739" i="4" s="1"/>
  <c r="DE739" i="4"/>
  <c r="FO739" i="4" s="1"/>
  <c r="CZ739" i="4"/>
  <c r="FJ739" i="4" s="1"/>
  <c r="CU739" i="4"/>
  <c r="FE739" i="4" s="1"/>
  <c r="CP739" i="4"/>
  <c r="EZ739" i="4" s="1"/>
  <c r="CK739" i="4"/>
  <c r="CM739" i="4" s="1"/>
  <c r="CG739" i="4"/>
  <c r="CI739" i="4" s="1"/>
  <c r="BS739" i="4"/>
  <c r="BF739" i="4"/>
  <c r="AZ739" i="4"/>
  <c r="X739" i="4"/>
  <c r="ET738" i="4"/>
  <c r="EO738" i="4"/>
  <c r="EJ738" i="4"/>
  <c r="EE738" i="4"/>
  <c r="DZ738" i="4"/>
  <c r="DU738" i="4"/>
  <c r="DO738" i="4"/>
  <c r="FY738" i="4" s="1"/>
  <c r="DJ738" i="4"/>
  <c r="FT738" i="4" s="1"/>
  <c r="DE738" i="4"/>
  <c r="FO738" i="4" s="1"/>
  <c r="CZ738" i="4"/>
  <c r="FJ738" i="4" s="1"/>
  <c r="CU738" i="4"/>
  <c r="FE738" i="4" s="1"/>
  <c r="CP738" i="4"/>
  <c r="EZ738" i="4" s="1"/>
  <c r="CK738" i="4"/>
  <c r="CM738" i="4" s="1"/>
  <c r="CG738" i="4"/>
  <c r="CI738" i="4" s="1"/>
  <c r="BS738" i="4"/>
  <c r="BF738" i="4"/>
  <c r="AZ738" i="4"/>
  <c r="X738" i="4"/>
  <c r="ET737" i="4"/>
  <c r="EO737" i="4"/>
  <c r="EJ737" i="4"/>
  <c r="EE737" i="4"/>
  <c r="DZ737" i="4"/>
  <c r="DU737" i="4"/>
  <c r="DO737" i="4"/>
  <c r="FY737" i="4" s="1"/>
  <c r="DJ737" i="4"/>
  <c r="FT737" i="4" s="1"/>
  <c r="DE737" i="4"/>
  <c r="FO737" i="4" s="1"/>
  <c r="CZ737" i="4"/>
  <c r="FJ737" i="4" s="1"/>
  <c r="CU737" i="4"/>
  <c r="FE737" i="4" s="1"/>
  <c r="CP737" i="4"/>
  <c r="EZ737" i="4" s="1"/>
  <c r="CK737" i="4"/>
  <c r="CM737" i="4" s="1"/>
  <c r="CG737" i="4"/>
  <c r="CI737" i="4" s="1"/>
  <c r="BS737" i="4"/>
  <c r="BF737" i="4"/>
  <c r="AZ737" i="4"/>
  <c r="X737" i="4"/>
  <c r="ET736" i="4"/>
  <c r="EO736" i="4"/>
  <c r="EJ736" i="4"/>
  <c r="EE736" i="4"/>
  <c r="DZ736" i="4"/>
  <c r="DU736" i="4"/>
  <c r="DO736" i="4"/>
  <c r="FY736" i="4" s="1"/>
  <c r="DJ736" i="4"/>
  <c r="FT736" i="4" s="1"/>
  <c r="DE736" i="4"/>
  <c r="FO736" i="4" s="1"/>
  <c r="CZ736" i="4"/>
  <c r="FJ736" i="4" s="1"/>
  <c r="CU736" i="4"/>
  <c r="FE736" i="4" s="1"/>
  <c r="CP736" i="4"/>
  <c r="EZ736" i="4" s="1"/>
  <c r="CK736" i="4"/>
  <c r="CM736" i="4" s="1"/>
  <c r="CG736" i="4"/>
  <c r="CI736" i="4" s="1"/>
  <c r="BS736" i="4"/>
  <c r="BF736" i="4"/>
  <c r="AZ736" i="4"/>
  <c r="X736" i="4"/>
  <c r="ET735" i="4"/>
  <c r="EO735" i="4"/>
  <c r="EJ735" i="4"/>
  <c r="EE735" i="4"/>
  <c r="DZ735" i="4"/>
  <c r="DU735" i="4"/>
  <c r="DO735" i="4"/>
  <c r="FY735" i="4" s="1"/>
  <c r="DJ735" i="4"/>
  <c r="FT735" i="4" s="1"/>
  <c r="DE735" i="4"/>
  <c r="FO735" i="4" s="1"/>
  <c r="CZ735" i="4"/>
  <c r="FJ735" i="4" s="1"/>
  <c r="CU735" i="4"/>
  <c r="FE735" i="4" s="1"/>
  <c r="CP735" i="4"/>
  <c r="EZ735" i="4" s="1"/>
  <c r="CK735" i="4"/>
  <c r="CM735" i="4" s="1"/>
  <c r="CG735" i="4"/>
  <c r="CI735" i="4" s="1"/>
  <c r="BS735" i="4"/>
  <c r="BF735" i="4"/>
  <c r="AZ735" i="4"/>
  <c r="X735" i="4"/>
  <c r="ET734" i="4"/>
  <c r="EO734" i="4"/>
  <c r="EJ734" i="4"/>
  <c r="EE734" i="4"/>
  <c r="DZ734" i="4"/>
  <c r="DU734" i="4"/>
  <c r="DO734" i="4"/>
  <c r="FY734" i="4" s="1"/>
  <c r="DJ734" i="4"/>
  <c r="FT734" i="4" s="1"/>
  <c r="DE734" i="4"/>
  <c r="FO734" i="4" s="1"/>
  <c r="CZ734" i="4"/>
  <c r="FJ734" i="4" s="1"/>
  <c r="CU734" i="4"/>
  <c r="FE734" i="4" s="1"/>
  <c r="CP734" i="4"/>
  <c r="EZ734" i="4" s="1"/>
  <c r="CK734" i="4"/>
  <c r="CM734" i="4" s="1"/>
  <c r="CG734" i="4"/>
  <c r="CI734" i="4" s="1"/>
  <c r="BS734" i="4"/>
  <c r="BF734" i="4"/>
  <c r="AZ734" i="4"/>
  <c r="X734" i="4"/>
  <c r="ET733" i="4"/>
  <c r="EO733" i="4"/>
  <c r="EJ733" i="4"/>
  <c r="EE733" i="4"/>
  <c r="DZ733" i="4"/>
  <c r="DU733" i="4"/>
  <c r="DO733" i="4"/>
  <c r="FY733" i="4" s="1"/>
  <c r="DJ733" i="4"/>
  <c r="FT733" i="4" s="1"/>
  <c r="DE733" i="4"/>
  <c r="FO733" i="4" s="1"/>
  <c r="CZ733" i="4"/>
  <c r="FJ733" i="4" s="1"/>
  <c r="CU733" i="4"/>
  <c r="FE733" i="4" s="1"/>
  <c r="CP733" i="4"/>
  <c r="EZ733" i="4" s="1"/>
  <c r="CK733" i="4"/>
  <c r="CM733" i="4" s="1"/>
  <c r="CG733" i="4"/>
  <c r="CI733" i="4" s="1"/>
  <c r="BS733" i="4"/>
  <c r="BF733" i="4"/>
  <c r="AZ733" i="4"/>
  <c r="X733" i="4"/>
  <c r="ET732" i="4"/>
  <c r="EO732" i="4"/>
  <c r="EJ732" i="4"/>
  <c r="EE732" i="4"/>
  <c r="DZ732" i="4"/>
  <c r="DU732" i="4"/>
  <c r="DO732" i="4"/>
  <c r="FY732" i="4" s="1"/>
  <c r="DJ732" i="4"/>
  <c r="FT732" i="4" s="1"/>
  <c r="DE732" i="4"/>
  <c r="FO732" i="4" s="1"/>
  <c r="CZ732" i="4"/>
  <c r="FJ732" i="4" s="1"/>
  <c r="CU732" i="4"/>
  <c r="FE732" i="4" s="1"/>
  <c r="CP732" i="4"/>
  <c r="EZ732" i="4" s="1"/>
  <c r="CK732" i="4"/>
  <c r="CM732" i="4" s="1"/>
  <c r="CG732" i="4"/>
  <c r="CI732" i="4" s="1"/>
  <c r="BS732" i="4"/>
  <c r="BF732" i="4"/>
  <c r="AZ732" i="4"/>
  <c r="X732" i="4"/>
  <c r="ET731" i="4"/>
  <c r="EO731" i="4"/>
  <c r="EJ731" i="4"/>
  <c r="EE731" i="4"/>
  <c r="DZ731" i="4"/>
  <c r="DU731" i="4"/>
  <c r="DO731" i="4"/>
  <c r="FY731" i="4" s="1"/>
  <c r="DJ731" i="4"/>
  <c r="FT731" i="4" s="1"/>
  <c r="DE731" i="4"/>
  <c r="FO731" i="4" s="1"/>
  <c r="CZ731" i="4"/>
  <c r="FJ731" i="4" s="1"/>
  <c r="CU731" i="4"/>
  <c r="FE731" i="4" s="1"/>
  <c r="CP731" i="4"/>
  <c r="EZ731" i="4" s="1"/>
  <c r="CK731" i="4"/>
  <c r="CM731" i="4" s="1"/>
  <c r="CG731" i="4"/>
  <c r="CI731" i="4" s="1"/>
  <c r="BS731" i="4"/>
  <c r="BF731" i="4"/>
  <c r="AZ731" i="4"/>
  <c r="X731" i="4"/>
  <c r="ET730" i="4"/>
  <c r="EO730" i="4"/>
  <c r="EJ730" i="4"/>
  <c r="EE730" i="4"/>
  <c r="DZ730" i="4"/>
  <c r="DU730" i="4"/>
  <c r="DO730" i="4"/>
  <c r="FY730" i="4" s="1"/>
  <c r="DJ730" i="4"/>
  <c r="FT730" i="4" s="1"/>
  <c r="DE730" i="4"/>
  <c r="FO730" i="4" s="1"/>
  <c r="CZ730" i="4"/>
  <c r="FJ730" i="4" s="1"/>
  <c r="CU730" i="4"/>
  <c r="FE730" i="4" s="1"/>
  <c r="CP730" i="4"/>
  <c r="EZ730" i="4" s="1"/>
  <c r="CK730" i="4"/>
  <c r="CM730" i="4" s="1"/>
  <c r="CG730" i="4"/>
  <c r="CI730" i="4" s="1"/>
  <c r="BS730" i="4"/>
  <c r="BF730" i="4"/>
  <c r="AZ730" i="4"/>
  <c r="X730" i="4"/>
  <c r="ET729" i="4"/>
  <c r="EO729" i="4"/>
  <c r="EJ729" i="4"/>
  <c r="EE729" i="4"/>
  <c r="DZ729" i="4"/>
  <c r="DU729" i="4"/>
  <c r="DO729" i="4"/>
  <c r="FY729" i="4" s="1"/>
  <c r="DJ729" i="4"/>
  <c r="FT729" i="4" s="1"/>
  <c r="DE729" i="4"/>
  <c r="FO729" i="4" s="1"/>
  <c r="CZ729" i="4"/>
  <c r="FJ729" i="4" s="1"/>
  <c r="CU729" i="4"/>
  <c r="FE729" i="4" s="1"/>
  <c r="CP729" i="4"/>
  <c r="EZ729" i="4" s="1"/>
  <c r="CK729" i="4"/>
  <c r="CM729" i="4" s="1"/>
  <c r="CG729" i="4"/>
  <c r="CI729" i="4" s="1"/>
  <c r="BS729" i="4"/>
  <c r="BF729" i="4"/>
  <c r="AZ729" i="4"/>
  <c r="X729" i="4"/>
  <c r="ET728" i="4"/>
  <c r="EO728" i="4"/>
  <c r="EJ728" i="4"/>
  <c r="EE728" i="4"/>
  <c r="DZ728" i="4"/>
  <c r="DU728" i="4"/>
  <c r="DO728" i="4"/>
  <c r="FY728" i="4" s="1"/>
  <c r="DJ728" i="4"/>
  <c r="FT728" i="4" s="1"/>
  <c r="DE728" i="4"/>
  <c r="CZ728" i="4"/>
  <c r="FJ728" i="4" s="1"/>
  <c r="CU728" i="4"/>
  <c r="FE728" i="4" s="1"/>
  <c r="CP728" i="4"/>
  <c r="EZ728" i="4" s="1"/>
  <c r="CK728" i="4"/>
  <c r="CM728" i="4" s="1"/>
  <c r="CG728" i="4"/>
  <c r="CI728" i="4" s="1"/>
  <c r="BS728" i="4"/>
  <c r="BF728" i="4"/>
  <c r="AZ728" i="4"/>
  <c r="X728" i="4"/>
  <c r="ET727" i="4"/>
  <c r="EO727" i="4"/>
  <c r="EJ727" i="4"/>
  <c r="EE727" i="4"/>
  <c r="DZ727" i="4"/>
  <c r="DU727" i="4"/>
  <c r="DO727" i="4"/>
  <c r="FY727" i="4" s="1"/>
  <c r="DJ727" i="4"/>
  <c r="FT727" i="4" s="1"/>
  <c r="DE727" i="4"/>
  <c r="FO727" i="4" s="1"/>
  <c r="CZ727" i="4"/>
  <c r="FJ727" i="4" s="1"/>
  <c r="CU727" i="4"/>
  <c r="FE727" i="4" s="1"/>
  <c r="CP727" i="4"/>
  <c r="EZ727" i="4" s="1"/>
  <c r="CK727" i="4"/>
  <c r="CM727" i="4" s="1"/>
  <c r="CG727" i="4"/>
  <c r="CI727" i="4" s="1"/>
  <c r="BS727" i="4"/>
  <c r="BF727" i="4"/>
  <c r="AZ727" i="4"/>
  <c r="X727" i="4"/>
  <c r="ET726" i="4"/>
  <c r="EO726" i="4"/>
  <c r="EJ726" i="4"/>
  <c r="EE726" i="4"/>
  <c r="DZ726" i="4"/>
  <c r="DU726" i="4"/>
  <c r="DO726" i="4"/>
  <c r="DJ726" i="4"/>
  <c r="DE726" i="4"/>
  <c r="FO726" i="4" s="1"/>
  <c r="CZ726" i="4"/>
  <c r="FJ726" i="4" s="1"/>
  <c r="CU726" i="4"/>
  <c r="FE726" i="4" s="1"/>
  <c r="CP726" i="4"/>
  <c r="CK726" i="4"/>
  <c r="CM726" i="4" s="1"/>
  <c r="CG726" i="4"/>
  <c r="CI726" i="4" s="1"/>
  <c r="BS726" i="4"/>
  <c r="BF726" i="4"/>
  <c r="AZ726" i="4"/>
  <c r="X726" i="4"/>
  <c r="W708" i="4"/>
  <c r="BE69" i="4" s="1"/>
  <c r="Z691" i="4"/>
  <c r="G691" i="4"/>
  <c r="Z683" i="4"/>
  <c r="G683" i="4"/>
  <c r="Z675" i="4"/>
  <c r="G675" i="4"/>
  <c r="Z667" i="4"/>
  <c r="G667" i="4"/>
  <c r="Z659" i="4"/>
  <c r="G659" i="4"/>
  <c r="Z651" i="4"/>
  <c r="G651" i="4"/>
  <c r="AO647" i="4"/>
  <c r="AT646" i="4"/>
  <c r="AT645" i="4"/>
  <c r="AT644" i="4"/>
  <c r="AT643" i="4"/>
  <c r="AT642" i="4"/>
  <c r="AT641" i="4"/>
  <c r="AT640" i="4"/>
  <c r="AT639" i="4"/>
  <c r="AT638" i="4"/>
  <c r="AT637" i="4"/>
  <c r="AT636" i="4"/>
  <c r="Z617" i="4"/>
  <c r="G617" i="4"/>
  <c r="Z609" i="4"/>
  <c r="G609" i="4"/>
  <c r="Z601" i="4"/>
  <c r="G601" i="4"/>
  <c r="Z593" i="4"/>
  <c r="G593" i="4"/>
  <c r="Z585" i="4"/>
  <c r="G585" i="4"/>
  <c r="Z576" i="4"/>
  <c r="G576" i="4"/>
  <c r="BI575" i="4"/>
  <c r="BI574" i="4"/>
  <c r="AM574" i="4"/>
  <c r="AT573" i="4"/>
  <c r="AT572" i="4"/>
  <c r="AT571" i="4"/>
  <c r="AT570" i="4"/>
  <c r="AT569" i="4"/>
  <c r="AT568" i="4"/>
  <c r="BI567" i="4"/>
  <c r="AT567" i="4"/>
  <c r="BI566" i="4"/>
  <c r="AT566" i="4"/>
  <c r="AT565" i="4"/>
  <c r="AT564" i="4"/>
  <c r="AT563" i="4"/>
  <c r="BI559" i="4"/>
  <c r="BI558" i="4"/>
  <c r="BI551" i="4"/>
  <c r="BI550" i="4"/>
  <c r="BA487" i="4"/>
  <c r="BA486" i="4"/>
  <c r="BA478" i="4"/>
  <c r="BA477" i="4"/>
  <c r="BA470" i="4"/>
  <c r="BA469" i="4"/>
  <c r="BA463" i="4"/>
  <c r="BA462" i="4"/>
  <c r="AG459" i="4"/>
  <c r="BE24" i="4" s="1"/>
  <c r="AG453" i="4"/>
  <c r="AG450" i="4"/>
  <c r="W427" i="4"/>
  <c r="AF427" i="4" s="1"/>
  <c r="AP595" i="9" s="1"/>
  <c r="BH256" i="4"/>
  <c r="BG250" i="4"/>
  <c r="BG249" i="4"/>
  <c r="BG248" i="4"/>
  <c r="BG247" i="4"/>
  <c r="BG246" i="4"/>
  <c r="BG245" i="4"/>
  <c r="BG243" i="4"/>
  <c r="BG242" i="4"/>
  <c r="BG241" i="4"/>
  <c r="M241" i="4"/>
  <c r="BG239" i="4"/>
  <c r="BG238" i="4"/>
  <c r="BG237" i="4"/>
  <c r="BG236" i="4"/>
  <c r="BG235" i="4"/>
  <c r="Y229" i="4"/>
  <c r="Z229" i="4" s="1"/>
  <c r="Y228" i="4"/>
  <c r="Z228" i="4" s="1"/>
  <c r="Y227" i="4"/>
  <c r="Z227" i="4" s="1"/>
  <c r="Y226" i="4"/>
  <c r="Z226" i="4" s="1"/>
  <c r="Y225" i="4"/>
  <c r="Z225" i="4" s="1"/>
  <c r="T212" i="4"/>
  <c r="I184" i="4"/>
  <c r="BN150" i="4"/>
  <c r="DG122" i="4"/>
  <c r="BE110" i="4"/>
  <c r="BE109" i="4"/>
  <c r="BE108" i="4"/>
  <c r="BE107" i="4"/>
  <c r="BE106" i="4"/>
  <c r="BE105" i="4"/>
  <c r="BE104" i="4"/>
  <c r="BE103" i="4"/>
  <c r="BE102" i="4"/>
  <c r="BE100" i="4"/>
  <c r="BE99" i="4"/>
  <c r="BE98" i="4"/>
  <c r="BE97" i="4"/>
  <c r="BE96" i="4"/>
  <c r="BE95" i="4"/>
  <c r="BE94" i="4"/>
  <c r="BE93" i="4"/>
  <c r="BE92" i="4"/>
  <c r="BE91" i="4"/>
  <c r="BE90" i="4"/>
  <c r="BE89" i="4"/>
  <c r="BE88" i="4"/>
  <c r="BE87" i="4"/>
  <c r="BE86" i="4"/>
  <c r="BE85" i="4"/>
  <c r="BE84" i="4"/>
  <c r="BE77" i="4"/>
  <c r="BE67" i="4"/>
  <c r="BE66" i="4"/>
  <c r="BE65" i="4"/>
  <c r="BE64" i="4"/>
  <c r="BE63" i="4"/>
  <c r="BE62" i="4"/>
  <c r="BE61" i="4"/>
  <c r="BE60" i="4"/>
  <c r="BE59" i="4"/>
  <c r="BE58" i="4"/>
  <c r="BE57" i="4"/>
  <c r="BE56" i="4"/>
  <c r="BE55" i="4"/>
  <c r="BE54" i="4"/>
  <c r="BE53" i="4"/>
  <c r="BE52" i="4"/>
  <c r="BE51" i="4"/>
  <c r="BE50" i="4"/>
  <c r="BE49" i="4"/>
  <c r="BE48" i="4"/>
  <c r="BE47" i="4"/>
  <c r="BE46" i="4"/>
  <c r="BE45" i="4"/>
  <c r="BE41" i="4"/>
  <c r="BE40" i="4"/>
  <c r="BE39" i="4"/>
  <c r="BE38" i="4"/>
  <c r="BE37" i="4"/>
  <c r="BE36" i="4"/>
  <c r="BE35" i="4"/>
  <c r="BE34" i="4"/>
  <c r="BE33" i="4"/>
  <c r="BE32" i="4"/>
  <c r="BE31" i="4"/>
  <c r="BE30" i="4"/>
  <c r="BE29" i="4"/>
  <c r="BE28" i="4"/>
  <c r="BE27" i="4"/>
  <c r="BE26" i="4"/>
  <c r="BE25" i="4"/>
  <c r="BE21" i="4"/>
  <c r="BE18" i="4"/>
  <c r="BE17" i="4"/>
  <c r="BE16" i="4"/>
  <c r="BE5" i="4"/>
  <c r="BE6" i="4" s="1"/>
  <c r="BE3" i="4"/>
  <c r="G154" i="10"/>
  <c r="G151" i="10"/>
  <c r="E153" i="10" s="1"/>
  <c r="G123" i="10"/>
  <c r="B106" i="10"/>
  <c r="E102" i="10"/>
  <c r="G100" i="10"/>
  <c r="B96" i="10"/>
  <c r="L94" i="10"/>
  <c r="L93" i="10"/>
  <c r="E93" i="10"/>
  <c r="L92" i="10"/>
  <c r="L91" i="10"/>
  <c r="L90" i="10"/>
  <c r="L89" i="10"/>
  <c r="L88" i="10"/>
  <c r="L87" i="10"/>
  <c r="G86" i="10"/>
  <c r="G92" i="10" s="1"/>
  <c r="G84" i="10"/>
  <c r="G90" i="10" s="1"/>
  <c r="B81" i="10"/>
  <c r="G75" i="10"/>
  <c r="G72" i="10"/>
  <c r="G68" i="10"/>
  <c r="G67" i="10"/>
  <c r="B58" i="10"/>
  <c r="N54" i="10"/>
  <c r="M54" i="10"/>
  <c r="U54" i="10" s="1"/>
  <c r="L54" i="10"/>
  <c r="N53" i="10"/>
  <c r="M53" i="10"/>
  <c r="U53" i="10" s="1"/>
  <c r="L53" i="10"/>
  <c r="N52" i="10"/>
  <c r="M52" i="10"/>
  <c r="T52" i="10" s="1"/>
  <c r="L52" i="10"/>
  <c r="N51" i="10"/>
  <c r="M51" i="10"/>
  <c r="T51" i="10" s="1"/>
  <c r="L51" i="10"/>
  <c r="N50" i="10"/>
  <c r="M50" i="10"/>
  <c r="T50" i="10" s="1"/>
  <c r="L50" i="10"/>
  <c r="N49" i="10"/>
  <c r="M49" i="10"/>
  <c r="S49" i="10" s="1"/>
  <c r="L49" i="10"/>
  <c r="B49" i="10"/>
  <c r="N48" i="10"/>
  <c r="M48" i="10"/>
  <c r="S48" i="10" s="1"/>
  <c r="L48" i="10"/>
  <c r="N47" i="10"/>
  <c r="M47" i="10"/>
  <c r="T47" i="10" s="1"/>
  <c r="L47" i="10"/>
  <c r="N46" i="10"/>
  <c r="M46" i="10"/>
  <c r="P46" i="10" s="1" a="1"/>
  <c r="P46" i="10" s="1"/>
  <c r="Q46" i="10" s="1"/>
  <c r="L46" i="10"/>
  <c r="G46" i="10"/>
  <c r="N45" i="10"/>
  <c r="M45" i="10"/>
  <c r="O45" i="10" s="1"/>
  <c r="L45" i="10"/>
  <c r="N44" i="10"/>
  <c r="M44" i="10"/>
  <c r="L44" i="10"/>
  <c r="N43" i="10"/>
  <c r="M43" i="10"/>
  <c r="T43" i="10" s="1"/>
  <c r="L43" i="10"/>
  <c r="N42" i="10"/>
  <c r="M42" i="10"/>
  <c r="T42" i="10" s="1"/>
  <c r="L42" i="10"/>
  <c r="N41" i="10"/>
  <c r="M41" i="10"/>
  <c r="T41" i="10" s="1"/>
  <c r="L41" i="10"/>
  <c r="N40" i="10"/>
  <c r="M40" i="10"/>
  <c r="L40" i="10"/>
  <c r="N39" i="10"/>
  <c r="M39" i="10"/>
  <c r="T39" i="10" s="1"/>
  <c r="L39" i="10"/>
  <c r="N38" i="10"/>
  <c r="M38" i="10"/>
  <c r="T38" i="10" s="1"/>
  <c r="L38" i="10"/>
  <c r="N37" i="10"/>
  <c r="M37" i="10"/>
  <c r="T37" i="10" s="1"/>
  <c r="L37" i="10"/>
  <c r="N36" i="10"/>
  <c r="M36" i="10"/>
  <c r="U36" i="10" s="1"/>
  <c r="L36" i="10"/>
  <c r="N35" i="10"/>
  <c r="M35" i="10"/>
  <c r="U35" i="10" s="1"/>
  <c r="L35" i="10"/>
  <c r="B35" i="10"/>
  <c r="N34" i="10"/>
  <c r="M34" i="10"/>
  <c r="U34" i="10" s="1"/>
  <c r="L34" i="10"/>
  <c r="N33" i="10"/>
  <c r="M33" i="10"/>
  <c r="U33" i="10" s="1"/>
  <c r="L33" i="10"/>
  <c r="N32" i="10"/>
  <c r="M32" i="10"/>
  <c r="U32" i="10" s="1"/>
  <c r="L32" i="10"/>
  <c r="N31" i="10"/>
  <c r="M31" i="10"/>
  <c r="U31" i="10" s="1"/>
  <c r="L31" i="10"/>
  <c r="N30" i="10"/>
  <c r="M30" i="10"/>
  <c r="T30" i="10" s="1"/>
  <c r="L30" i="10"/>
  <c r="N29" i="10"/>
  <c r="M29" i="10"/>
  <c r="U29" i="10" s="1"/>
  <c r="L29" i="10"/>
  <c r="N28" i="10"/>
  <c r="M28" i="10"/>
  <c r="U28" i="10" s="1"/>
  <c r="L28" i="10"/>
  <c r="D28" i="10"/>
  <c r="N27" i="10"/>
  <c r="M27" i="10"/>
  <c r="U27" i="10" s="1"/>
  <c r="L27" i="10"/>
  <c r="D27" i="10"/>
  <c r="N26" i="10"/>
  <c r="M26" i="10"/>
  <c r="L26" i="10"/>
  <c r="N25" i="10"/>
  <c r="M25" i="10"/>
  <c r="U25" i="10" s="1"/>
  <c r="L25" i="10"/>
  <c r="N24" i="10"/>
  <c r="M24" i="10"/>
  <c r="U24" i="10" s="1"/>
  <c r="L24" i="10"/>
  <c r="N23" i="10"/>
  <c r="M23" i="10"/>
  <c r="U23" i="10" s="1"/>
  <c r="L23" i="10"/>
  <c r="N22" i="10"/>
  <c r="M22" i="10"/>
  <c r="T22" i="10" s="1"/>
  <c r="L22" i="10"/>
  <c r="N21" i="10"/>
  <c r="M21" i="10"/>
  <c r="U21" i="10" s="1"/>
  <c r="L21" i="10"/>
  <c r="N20" i="10"/>
  <c r="M20" i="10"/>
  <c r="U20" i="10" s="1"/>
  <c r="L20" i="10"/>
  <c r="B20" i="10"/>
  <c r="P18" i="10"/>
  <c r="I14" i="10"/>
  <c r="AH747" i="4" l="1"/>
  <c r="AH748" i="4"/>
  <c r="AH750" i="4"/>
  <c r="AP308" i="9"/>
  <c r="B105" i="14"/>
  <c r="C765" i="4"/>
  <c r="AF1023" i="4"/>
  <c r="G27" i="12"/>
  <c r="I27" i="12" s="1"/>
  <c r="K27" i="12" s="1"/>
  <c r="M27" i="12" s="1"/>
  <c r="O27" i="12" s="1"/>
  <c r="Q27" i="12" s="1"/>
  <c r="S27" i="12" s="1"/>
  <c r="U27" i="12" s="1"/>
  <c r="W27" i="12" s="1"/>
  <c r="Y27" i="12" s="1"/>
  <c r="AA27" i="12" s="1"/>
  <c r="AC27" i="12" s="1"/>
  <c r="AE27" i="12" s="1"/>
  <c r="AG27" i="12" s="1"/>
  <c r="BE23" i="4"/>
  <c r="AH746" i="4"/>
  <c r="B11" i="5"/>
  <c r="B62" i="5"/>
  <c r="D74" i="14"/>
  <c r="AH734" i="4"/>
  <c r="AH740" i="4"/>
  <c r="D66" i="14"/>
  <c r="D49" i="14"/>
  <c r="D73" i="14"/>
  <c r="AK182" i="9"/>
  <c r="D102" i="14"/>
  <c r="AC43" i="12"/>
  <c r="AH728" i="4"/>
  <c r="U30" i="10"/>
  <c r="AH729" i="4"/>
  <c r="AB48" i="8"/>
  <c r="D60" i="14"/>
  <c r="AO57" i="9"/>
  <c r="I12" i="5"/>
  <c r="D28" i="14"/>
  <c r="T29" i="10"/>
  <c r="D23" i="14"/>
  <c r="D32" i="14"/>
  <c r="D87" i="14"/>
  <c r="T23" i="10"/>
  <c r="L63" i="5"/>
  <c r="L97" i="5" s="1"/>
  <c r="L105" i="5" s="1"/>
  <c r="T837" i="9"/>
  <c r="AF837" i="9" s="1"/>
  <c r="BE79" i="4" s="1"/>
  <c r="D15" i="14"/>
  <c r="D96" i="14"/>
  <c r="H12" i="5"/>
  <c r="AO71" i="9"/>
  <c r="G58" i="12"/>
  <c r="U40" i="10"/>
  <c r="AH744" i="4"/>
  <c r="D91" i="14"/>
  <c r="O12" i="5"/>
  <c r="B96" i="5"/>
  <c r="D16" i="14"/>
  <c r="D52" i="14"/>
  <c r="T24" i="10"/>
  <c r="S51" i="10"/>
  <c r="P54" i="10" a="1"/>
  <c r="P54" i="10" s="1"/>
  <c r="Q54" i="10" s="1"/>
  <c r="AH733" i="4"/>
  <c r="B54" i="5"/>
  <c r="D18" i="14"/>
  <c r="D24" i="14"/>
  <c r="T21" i="10"/>
  <c r="T20" i="10"/>
  <c r="O54" i="10"/>
  <c r="U51" i="10"/>
  <c r="P45" i="10" a="1"/>
  <c r="P45" i="10" s="1"/>
  <c r="Q45" i="10" s="1"/>
  <c r="R54" i="10" a="1"/>
  <c r="R54" i="10" s="1"/>
  <c r="T40" i="10"/>
  <c r="T45" i="10"/>
  <c r="S54" i="10"/>
  <c r="AH737" i="4"/>
  <c r="DE785" i="4"/>
  <c r="DI786" i="4" s="1"/>
  <c r="B26" i="5"/>
  <c r="D19" i="14"/>
  <c r="D25" i="14"/>
  <c r="AH726" i="4"/>
  <c r="AH741" i="4"/>
  <c r="D41" i="14"/>
  <c r="AH732" i="4"/>
  <c r="D34" i="14"/>
  <c r="D89" i="14"/>
  <c r="D21" i="14"/>
  <c r="D104" i="14"/>
  <c r="S46" i="10"/>
  <c r="AH727" i="4"/>
  <c r="D76" i="14"/>
  <c r="D86" i="14"/>
  <c r="T25" i="10"/>
  <c r="U52" i="10"/>
  <c r="T54" i="10"/>
  <c r="AH739" i="4"/>
  <c r="K12" i="5"/>
  <c r="D6" i="14"/>
  <c r="R38" i="10" a="1"/>
  <c r="R38" i="10" s="1"/>
  <c r="U38" i="10"/>
  <c r="AH731" i="4"/>
  <c r="N183" i="7"/>
  <c r="D22" i="14"/>
  <c r="D85" i="14"/>
  <c r="AH742" i="4"/>
  <c r="AH736" i="4"/>
  <c r="D57" i="14"/>
  <c r="D62" i="14"/>
  <c r="D14" i="14"/>
  <c r="D47" i="14"/>
  <c r="B55" i="14"/>
  <c r="U39" i="10"/>
  <c r="S45" i="10"/>
  <c r="P51" i="10" a="1"/>
  <c r="P51" i="10" s="1"/>
  <c r="Q51" i="10" s="1"/>
  <c r="AH738" i="4"/>
  <c r="DJ785" i="4"/>
  <c r="DN786" i="4" s="1"/>
  <c r="D8" i="14"/>
  <c r="D35" i="14"/>
  <c r="D42" i="14"/>
  <c r="D50" i="14"/>
  <c r="D58" i="14"/>
  <c r="D94" i="14"/>
  <c r="D103" i="14"/>
  <c r="DU761" i="4"/>
  <c r="U22" i="10"/>
  <c r="T46" i="10"/>
  <c r="R51" i="10" a="1"/>
  <c r="R51" i="10" s="1"/>
  <c r="AH730" i="4"/>
  <c r="AH735" i="4"/>
  <c r="R104" i="5"/>
  <c r="D36" i="14"/>
  <c r="B97" i="14"/>
  <c r="D95" i="14"/>
  <c r="G63" i="6"/>
  <c r="G97" i="6" s="1"/>
  <c r="G105" i="6" s="1"/>
  <c r="G107" i="6" s="1"/>
  <c r="R36" i="10" a="1"/>
  <c r="R36" i="10" s="1"/>
  <c r="DU805" i="4"/>
  <c r="M29" i="12"/>
  <c r="D5" i="14"/>
  <c r="R54" i="5"/>
  <c r="G51" i="10"/>
  <c r="M18" i="10"/>
  <c r="T31" i="10"/>
  <c r="O53" i="10"/>
  <c r="DO761" i="4"/>
  <c r="EW652" i="4" s="1"/>
  <c r="R20" i="10" a="1"/>
  <c r="R20" i="10" s="1"/>
  <c r="R37" i="10" a="1"/>
  <c r="R37" i="10" s="1"/>
  <c r="R50" i="10" a="1"/>
  <c r="R50" i="10" s="1"/>
  <c r="P53" i="10" a="1"/>
  <c r="P53" i="10" s="1"/>
  <c r="Q53" i="10" s="1"/>
  <c r="K63" i="5"/>
  <c r="K97" i="5" s="1"/>
  <c r="K105" i="5" s="1"/>
  <c r="R42" i="5"/>
  <c r="S41" i="5"/>
  <c r="E41" i="6" s="1"/>
  <c r="R70" i="5"/>
  <c r="J63" i="6"/>
  <c r="J97" i="6" s="1"/>
  <c r="J105" i="6" s="1"/>
  <c r="J107" i="6" s="1"/>
  <c r="F63" i="6"/>
  <c r="F97" i="6" s="1"/>
  <c r="F105" i="6" s="1"/>
  <c r="F107" i="6" s="1"/>
  <c r="T11" i="8" s="1"/>
  <c r="T23" i="8" s="1"/>
  <c r="T26" i="8" s="1"/>
  <c r="O29" i="12"/>
  <c r="B39" i="14"/>
  <c r="D77" i="14"/>
  <c r="M63" i="5"/>
  <c r="M97" i="5" s="1"/>
  <c r="M105" i="5" s="1"/>
  <c r="L12" i="5"/>
  <c r="Q29" i="12"/>
  <c r="E24" i="10"/>
  <c r="F24" i="10" s="1"/>
  <c r="U37" i="10"/>
  <c r="T44" i="10"/>
  <c r="U50" i="10"/>
  <c r="S53" i="10"/>
  <c r="EE761" i="4"/>
  <c r="DE761" i="4"/>
  <c r="EM677" i="4" s="1"/>
  <c r="AH743" i="4"/>
  <c r="AD7" i="8"/>
  <c r="S29" i="12"/>
  <c r="I53" i="12"/>
  <c r="K53" i="12" s="1"/>
  <c r="D70" i="14"/>
  <c r="C78" i="14"/>
  <c r="D92" i="14"/>
  <c r="R23" i="10" a="1"/>
  <c r="R23" i="10" s="1"/>
  <c r="E26" i="10"/>
  <c r="O50" i="10"/>
  <c r="CZ785" i="4"/>
  <c r="DD786" i="4" s="1"/>
  <c r="R24" i="10" a="1"/>
  <c r="R24" i="10" s="1"/>
  <c r="O49" i="10"/>
  <c r="O52" i="10"/>
  <c r="T53" i="10"/>
  <c r="G77" i="10"/>
  <c r="G79" i="10" s="1"/>
  <c r="CI761" i="4"/>
  <c r="X1057" i="4" s="1"/>
  <c r="CZ805" i="4"/>
  <c r="DD806" i="4" s="1"/>
  <c r="E40" i="6"/>
  <c r="AI7" i="8"/>
  <c r="U29" i="12"/>
  <c r="B27" i="14"/>
  <c r="D31" i="14"/>
  <c r="D44" i="14"/>
  <c r="D101" i="14"/>
  <c r="H63" i="5"/>
  <c r="H97" i="5" s="1"/>
  <c r="H105" i="5" s="1"/>
  <c r="S50" i="10"/>
  <c r="R53" i="10" a="1"/>
  <c r="R53" i="10" s="1"/>
  <c r="P52" i="10" a="1"/>
  <c r="P52" i="10" s="1"/>
  <c r="Q52" i="10" s="1"/>
  <c r="AP388" i="9"/>
  <c r="AQ388" i="9" s="1"/>
  <c r="T831" i="9"/>
  <c r="T830" i="9" s="1"/>
  <c r="AF830" i="9" s="1"/>
  <c r="BE75" i="4" s="1"/>
  <c r="G40" i="11"/>
  <c r="W29" i="12"/>
  <c r="D51" i="14"/>
  <c r="D93" i="14"/>
  <c r="Y29" i="12"/>
  <c r="D46" i="14"/>
  <c r="D88" i="14"/>
  <c r="J40" i="11"/>
  <c r="Z817" i="4" s="1"/>
  <c r="E6" i="12" s="1"/>
  <c r="G6" i="12" s="1"/>
  <c r="AE29" i="12"/>
  <c r="R25" i="10" a="1"/>
  <c r="R25" i="10" s="1"/>
  <c r="EJ805" i="4"/>
  <c r="AJ1045" i="4"/>
  <c r="I15" i="10" s="1"/>
  <c r="R22" i="10" a="1"/>
  <c r="R22" i="10" s="1"/>
  <c r="R39" i="10" a="1"/>
  <c r="R39" i="10" s="1"/>
  <c r="BF761" i="4"/>
  <c r="BG754" i="4" s="1"/>
  <c r="BH754" i="4" s="1"/>
  <c r="O63" i="5"/>
  <c r="O97" i="5" s="1"/>
  <c r="O105" i="5" s="1"/>
  <c r="P49" i="10" a="1"/>
  <c r="P49" i="10" s="1"/>
  <c r="Q49" i="10" s="1"/>
  <c r="R52" i="10" a="1"/>
  <c r="R52" i="10" s="1"/>
  <c r="AH745" i="4"/>
  <c r="AZ1061" i="4"/>
  <c r="J12" i="5"/>
  <c r="R96" i="5"/>
  <c r="O51" i="10"/>
  <c r="S52" i="10"/>
  <c r="DZ761" i="4"/>
  <c r="DO785" i="4"/>
  <c r="DS786" i="4" s="1"/>
  <c r="BA1067" i="4"/>
  <c r="D63" i="6"/>
  <c r="D97" i="6" s="1"/>
  <c r="D105" i="6" s="1"/>
  <c r="AO34" i="9"/>
  <c r="AA29" i="12"/>
  <c r="G29" i="12"/>
  <c r="AG29" i="12"/>
  <c r="D33" i="14"/>
  <c r="D38" i="14"/>
  <c r="D53" i="14"/>
  <c r="B71" i="14"/>
  <c r="D84" i="14"/>
  <c r="R21" i="10" a="1"/>
  <c r="R21" i="10" s="1"/>
  <c r="I29" i="12"/>
  <c r="C27" i="14"/>
  <c r="B43" i="14"/>
  <c r="D48" i="14"/>
  <c r="D61" i="14"/>
  <c r="D75" i="14"/>
  <c r="D90" i="14"/>
  <c r="P50" i="10" a="1"/>
  <c r="P50" i="10" s="1"/>
  <c r="Q50" i="10" s="1"/>
  <c r="G113" i="10"/>
  <c r="BG252" i="4"/>
  <c r="BO254" i="4" s="1"/>
  <c r="T276" i="4" s="1"/>
  <c r="DJ761" i="4"/>
  <c r="ER645" i="4" s="1"/>
  <c r="DO805" i="4"/>
  <c r="DS806" i="4" s="1"/>
  <c r="J63" i="5"/>
  <c r="J97" i="5" s="1"/>
  <c r="J105" i="5" s="1"/>
  <c r="K29" i="12"/>
  <c r="C12" i="14"/>
  <c r="AP379" i="9"/>
  <c r="AQ379" i="9" s="1"/>
  <c r="AO47" i="9"/>
  <c r="I63" i="6"/>
  <c r="I97" i="6" s="1"/>
  <c r="I105" i="6" s="1"/>
  <c r="I107" i="6" s="1"/>
  <c r="AD11" i="8" s="1"/>
  <c r="AD23" i="8" s="1"/>
  <c r="AD26" i="8" s="1"/>
  <c r="C12" i="6"/>
  <c r="R26" i="5"/>
  <c r="R81" i="5"/>
  <c r="B78" i="14"/>
  <c r="R62" i="5"/>
  <c r="D54" i="14"/>
  <c r="D100" i="14"/>
  <c r="B104" i="5"/>
  <c r="C97" i="14"/>
  <c r="D81" i="14"/>
  <c r="B82" i="14"/>
  <c r="B81" i="5"/>
  <c r="C9" i="14"/>
  <c r="D7" i="14"/>
  <c r="B12" i="14"/>
  <c r="F12" i="5"/>
  <c r="G40" i="12"/>
  <c r="G43" i="12" s="1"/>
  <c r="AG40" i="12"/>
  <c r="AG43" i="12" s="1"/>
  <c r="AE40" i="12"/>
  <c r="AE43" i="12" s="1"/>
  <c r="I40" i="12"/>
  <c r="I43" i="12" s="1"/>
  <c r="K40" i="12"/>
  <c r="K43" i="12" s="1"/>
  <c r="M40" i="12"/>
  <c r="M43" i="12" s="1"/>
  <c r="O40" i="12"/>
  <c r="O43" i="12" s="1"/>
  <c r="Q40" i="12"/>
  <c r="Q43" i="12" s="1"/>
  <c r="E43" i="12"/>
  <c r="U40" i="12"/>
  <c r="U43" i="12" s="1"/>
  <c r="W40" i="12"/>
  <c r="W43" i="12" s="1"/>
  <c r="Y40" i="12"/>
  <c r="Y43" i="12" s="1"/>
  <c r="S40" i="12"/>
  <c r="S43" i="12" s="1"/>
  <c r="AA40" i="12"/>
  <c r="AA43" i="12" s="1"/>
  <c r="AO649" i="4"/>
  <c r="F63" i="5"/>
  <c r="F97" i="5" s="1"/>
  <c r="F105" i="5" s="1"/>
  <c r="C63" i="5"/>
  <c r="B63" i="6" s="1"/>
  <c r="D10" i="14"/>
  <c r="B11" i="6"/>
  <c r="C12" i="5"/>
  <c r="B12" i="6" s="1"/>
  <c r="B8" i="6"/>
  <c r="AG454" i="4"/>
  <c r="AD27" i="8" s="1"/>
  <c r="P48" i="10" a="1"/>
  <c r="P48" i="10" s="1"/>
  <c r="Q48" i="10" s="1"/>
  <c r="E27" i="10"/>
  <c r="R28" i="10" a="1"/>
  <c r="R28" i="10" s="1"/>
  <c r="T34" i="10"/>
  <c r="FE761" i="4"/>
  <c r="FT726" i="4"/>
  <c r="R32" i="10" a="1"/>
  <c r="R32" i="10" s="1"/>
  <c r="R33" i="10" a="1"/>
  <c r="R33" i="10" s="1"/>
  <c r="U42" i="10"/>
  <c r="R44" i="10" a="1"/>
  <c r="R44" i="10" s="1"/>
  <c r="U44" i="10"/>
  <c r="S47" i="10"/>
  <c r="R30" i="10" a="1"/>
  <c r="R30" i="10" s="1"/>
  <c r="R31" i="10" a="1"/>
  <c r="R31" i="10" s="1"/>
  <c r="R40" i="10" a="1"/>
  <c r="R40" i="10" s="1"/>
  <c r="R995" i="4"/>
  <c r="R999" i="4"/>
  <c r="R998" i="4"/>
  <c r="R997" i="4"/>
  <c r="R996" i="4"/>
  <c r="FJ761" i="4"/>
  <c r="FY726" i="4"/>
  <c r="E28" i="10"/>
  <c r="T28" i="10"/>
  <c r="R29" i="10" a="1"/>
  <c r="R29" i="10" s="1"/>
  <c r="T32" i="10"/>
  <c r="T33" i="10"/>
  <c r="FO728" i="4"/>
  <c r="O48" i="10"/>
  <c r="R41" i="10" a="1"/>
  <c r="R41" i="10" s="1"/>
  <c r="U41" i="10"/>
  <c r="R47" i="10" a="1"/>
  <c r="R47" i="10" s="1"/>
  <c r="U47" i="10"/>
  <c r="BS761" i="4"/>
  <c r="EE805" i="4"/>
  <c r="AB29" i="7"/>
  <c r="R26" i="10" a="1"/>
  <c r="R26" i="10" s="1"/>
  <c r="R43" i="10" a="1"/>
  <c r="R43" i="10" s="1"/>
  <c r="R46" i="10" a="1"/>
  <c r="R46" i="10" s="1"/>
  <c r="U46" i="10"/>
  <c r="O47" i="10"/>
  <c r="R49" i="10" a="1"/>
  <c r="R49" i="10" s="1"/>
  <c r="EJ761" i="4"/>
  <c r="EO795" i="4"/>
  <c r="EO805" i="4" s="1"/>
  <c r="DJ805" i="4"/>
  <c r="DN806" i="4" s="1"/>
  <c r="R35" i="10" a="1"/>
  <c r="R35" i="10" s="1"/>
  <c r="AC785" i="4"/>
  <c r="AH29" i="7"/>
  <c r="R48" i="10" a="1"/>
  <c r="R48" i="10" s="1"/>
  <c r="T49" i="10"/>
  <c r="E25" i="10"/>
  <c r="F25" i="10" s="1"/>
  <c r="G25" i="10" s="1"/>
  <c r="ET761" i="4"/>
  <c r="T26" i="10"/>
  <c r="R27" i="10" a="1"/>
  <c r="R27" i="10" s="1"/>
  <c r="T36" i="10"/>
  <c r="U26" i="10"/>
  <c r="R34" i="10" a="1"/>
  <c r="R34" i="10" s="1"/>
  <c r="R42" i="10" a="1"/>
  <c r="R42" i="10" s="1"/>
  <c r="U43" i="10"/>
  <c r="R45" i="10" a="1"/>
  <c r="R45" i="10" s="1"/>
  <c r="U45" i="10"/>
  <c r="O46" i="10"/>
  <c r="P47" i="10" a="1"/>
  <c r="P47" i="10" s="1"/>
  <c r="Q47" i="10" s="1"/>
  <c r="T48" i="10"/>
  <c r="U49" i="10"/>
  <c r="AP600" i="9"/>
  <c r="Y620" i="9"/>
  <c r="CM761" i="4"/>
  <c r="X1061" i="4" s="1"/>
  <c r="T27" i="10"/>
  <c r="T35" i="10"/>
  <c r="U48" i="10"/>
  <c r="BE7" i="4"/>
  <c r="CP761" i="4"/>
  <c r="DX650" i="4" s="1"/>
  <c r="EZ726" i="4"/>
  <c r="ET805" i="4"/>
  <c r="D63" i="5"/>
  <c r="D97" i="5" s="1"/>
  <c r="D105" i="5" s="1"/>
  <c r="B8" i="5"/>
  <c r="D12" i="5"/>
  <c r="Q12" i="5"/>
  <c r="Q63" i="5"/>
  <c r="Q97" i="5" s="1"/>
  <c r="Q105" i="5" s="1"/>
  <c r="B77" i="5"/>
  <c r="C63" i="6"/>
  <c r="C97" i="6" s="1"/>
  <c r="C105" i="6" s="1"/>
  <c r="V29" i="7"/>
  <c r="AV121" i="9"/>
  <c r="AW116" i="9" s="1"/>
  <c r="CU761" i="4"/>
  <c r="EC675" i="4" s="1"/>
  <c r="CP785" i="4"/>
  <c r="E22" i="12"/>
  <c r="E35" i="12" s="1"/>
  <c r="G15" i="12"/>
  <c r="I63" i="5"/>
  <c r="I97" i="5" s="1"/>
  <c r="I105" i="5" s="1"/>
  <c r="D12" i="6"/>
  <c r="J21" i="7"/>
  <c r="J24" i="7"/>
  <c r="E103" i="9"/>
  <c r="AY1012" i="4"/>
  <c r="AX703" i="9"/>
  <c r="E104" i="9"/>
  <c r="CZ761" i="4"/>
  <c r="EH644" i="4" s="1"/>
  <c r="CU785" i="4"/>
  <c r="CY786" i="4" s="1"/>
  <c r="AC805" i="4"/>
  <c r="R77" i="5"/>
  <c r="B62" i="6"/>
  <c r="D40" i="11"/>
  <c r="BA1055" i="4"/>
  <c r="R8" i="5"/>
  <c r="DZ795" i="4"/>
  <c r="DZ805" i="4" s="1"/>
  <c r="CU805" i="4"/>
  <c r="CY806" i="4" s="1"/>
  <c r="AY1033" i="4"/>
  <c r="AF1026" i="4" s="1"/>
  <c r="AN29" i="7"/>
  <c r="EO761" i="4"/>
  <c r="AC893" i="4"/>
  <c r="E9" i="12"/>
  <c r="G8" i="12"/>
  <c r="R38" i="5"/>
  <c r="E70" i="6"/>
  <c r="J20" i="7"/>
  <c r="J23" i="7"/>
  <c r="CP805" i="4"/>
  <c r="AC892" i="4"/>
  <c r="B70" i="5"/>
  <c r="B70" i="6"/>
  <c r="BA1051" i="4"/>
  <c r="BD1060" i="4" s="1" a="1"/>
  <c r="BD1060" i="4" s="1"/>
  <c r="AD68" i="8"/>
  <c r="DE805" i="4"/>
  <c r="DI806" i="4" s="1"/>
  <c r="M12" i="5"/>
  <c r="B42" i="5"/>
  <c r="T63" i="5"/>
  <c r="N63" i="5"/>
  <c r="N97" i="5" s="1"/>
  <c r="N105" i="5" s="1"/>
  <c r="P63" i="5"/>
  <c r="P97" i="5" s="1"/>
  <c r="P105" i="5" s="1"/>
  <c r="P29" i="7"/>
  <c r="J19" i="7"/>
  <c r="J22" i="7"/>
  <c r="B38" i="5"/>
  <c r="B54" i="6"/>
  <c r="J28" i="7"/>
  <c r="N12" i="5"/>
  <c r="Y68" i="8"/>
  <c r="Y7" i="8"/>
  <c r="D30" i="14"/>
  <c r="C39" i="14"/>
  <c r="B9" i="14"/>
  <c r="D20" i="14"/>
  <c r="C43" i="14"/>
  <c r="C71" i="14"/>
  <c r="AK548" i="9"/>
  <c r="T835" i="9" s="1"/>
  <c r="B63" i="14"/>
  <c r="AB233" i="9"/>
  <c r="AB249" i="9" s="1"/>
  <c r="AB251" i="9" s="1"/>
  <c r="AB253" i="9" s="1"/>
  <c r="AB259" i="9" s="1"/>
  <c r="AD208" i="9" s="1"/>
  <c r="AD210" i="9" s="1"/>
  <c r="C55" i="14"/>
  <c r="D11" i="14"/>
  <c r="C63" i="14"/>
  <c r="D59" i="14"/>
  <c r="D80" i="14"/>
  <c r="C82" i="14"/>
  <c r="C105" i="14"/>
  <c r="D105" i="14" s="1"/>
  <c r="D26" i="14"/>
  <c r="G108" i="10" l="1"/>
  <c r="AJ634" i="9"/>
  <c r="EW668" i="4"/>
  <c r="D97" i="14"/>
  <c r="EW676" i="4"/>
  <c r="EW660" i="4"/>
  <c r="EW669" i="4"/>
  <c r="EM658" i="4"/>
  <c r="BG738" i="4"/>
  <c r="BH738" i="4" s="1"/>
  <c r="BG752" i="4"/>
  <c r="BH752" i="4" s="1"/>
  <c r="BG755" i="4"/>
  <c r="BH755" i="4" s="1"/>
  <c r="BG757" i="4"/>
  <c r="BH757" i="4" s="1"/>
  <c r="D71" i="14"/>
  <c r="EW665" i="4"/>
  <c r="EW655" i="4"/>
  <c r="I58" i="12"/>
  <c r="BG737" i="4"/>
  <c r="BH737" i="4" s="1"/>
  <c r="D43" i="14"/>
  <c r="BG751" i="4"/>
  <c r="BH751" i="4" s="1"/>
  <c r="EW657" i="4"/>
  <c r="BG728" i="4"/>
  <c r="BH728" i="4" s="1"/>
  <c r="BG746" i="4"/>
  <c r="BH746" i="4" s="1"/>
  <c r="BG760" i="4"/>
  <c r="BH760" i="4" s="1"/>
  <c r="EW675" i="4"/>
  <c r="EW646" i="4"/>
  <c r="BG759" i="4"/>
  <c r="BH759" i="4" s="1"/>
  <c r="BG743" i="4"/>
  <c r="BH743" i="4" s="1"/>
  <c r="E7" i="12"/>
  <c r="BG745" i="4"/>
  <c r="BH745" i="4" s="1"/>
  <c r="BG741" i="4"/>
  <c r="BH741" i="4" s="1"/>
  <c r="EM649" i="4"/>
  <c r="BG729" i="4"/>
  <c r="BH729" i="4" s="1"/>
  <c r="BG750" i="4"/>
  <c r="BH750" i="4" s="1"/>
  <c r="EM651" i="4"/>
  <c r="BG748" i="4"/>
  <c r="BH748" i="4" s="1"/>
  <c r="BG727" i="4"/>
  <c r="BH727" i="4" s="1"/>
  <c r="BG734" i="4"/>
  <c r="BH734" i="4" s="1"/>
  <c r="BG749" i="4"/>
  <c r="BH749" i="4" s="1"/>
  <c r="C13" i="14"/>
  <c r="EW671" i="4"/>
  <c r="EM670" i="4"/>
  <c r="EW667" i="4"/>
  <c r="EM656" i="4"/>
  <c r="AX704" i="9"/>
  <c r="EW672" i="4"/>
  <c r="AO60" i="9"/>
  <c r="AK61" i="9" s="1"/>
  <c r="AK83" i="9" s="1"/>
  <c r="EW647" i="4"/>
  <c r="EW653" i="4"/>
  <c r="EW645" i="4"/>
  <c r="DS763" i="4"/>
  <c r="EW659" i="4"/>
  <c r="EW662" i="4"/>
  <c r="AX706" i="9"/>
  <c r="EW649" i="4"/>
  <c r="D78" i="14"/>
  <c r="DX645" i="4"/>
  <c r="EM664" i="4"/>
  <c r="EW666" i="4"/>
  <c r="EW664" i="4"/>
  <c r="EM660" i="4"/>
  <c r="EW670" i="4"/>
  <c r="EW644" i="4"/>
  <c r="EM643" i="4"/>
  <c r="EW663" i="4"/>
  <c r="EH676" i="4"/>
  <c r="EM663" i="4"/>
  <c r="EW661" i="4"/>
  <c r="EW658" i="4"/>
  <c r="DX661" i="4"/>
  <c r="EW674" i="4"/>
  <c r="EM645" i="4"/>
  <c r="EW654" i="4"/>
  <c r="Y808" i="4"/>
  <c r="EM675" i="4"/>
  <c r="ER667" i="4"/>
  <c r="DN763" i="4"/>
  <c r="ER668" i="4"/>
  <c r="ER672" i="4"/>
  <c r="EM667" i="4"/>
  <c r="DJ810" i="4"/>
  <c r="AD28" i="8"/>
  <c r="ER677" i="4"/>
  <c r="EM654" i="4"/>
  <c r="AX705" i="9"/>
  <c r="AS373" i="9"/>
  <c r="ER671" i="4"/>
  <c r="ER660" i="4"/>
  <c r="ER663" i="4"/>
  <c r="ER657" i="4"/>
  <c r="EC676" i="4"/>
  <c r="EM672" i="4"/>
  <c r="EM644" i="4"/>
  <c r="ER676" i="4"/>
  <c r="ER653" i="4"/>
  <c r="EM665" i="4"/>
  <c r="ET807" i="4"/>
  <c r="ER674" i="4"/>
  <c r="ER646" i="4"/>
  <c r="DI763" i="4"/>
  <c r="BG747" i="4"/>
  <c r="BH747" i="4" s="1"/>
  <c r="ER648" i="4"/>
  <c r="ER659" i="4"/>
  <c r="ER650" i="4"/>
  <c r="D55" i="14"/>
  <c r="EM659" i="4"/>
  <c r="EM662" i="4"/>
  <c r="EM673" i="4"/>
  <c r="D12" i="14"/>
  <c r="EM646" i="4"/>
  <c r="G42" i="10" a="1"/>
  <c r="G42" i="10" s="1"/>
  <c r="G43" i="10" s="1"/>
  <c r="EM668" i="4"/>
  <c r="AI27" i="8"/>
  <c r="ER673" i="4"/>
  <c r="ER662" i="4"/>
  <c r="ER655" i="4"/>
  <c r="ER666" i="4"/>
  <c r="AS375" i="9"/>
  <c r="AS371" i="9" s="1"/>
  <c r="AK482" i="9" s="1"/>
  <c r="T839" i="9" s="1"/>
  <c r="AF839" i="9" s="1"/>
  <c r="BE80" i="4" s="1"/>
  <c r="DX670" i="4"/>
  <c r="EM655" i="4"/>
  <c r="ER658" i="4"/>
  <c r="BG739" i="4"/>
  <c r="BH739" i="4" s="1"/>
  <c r="BG726" i="4"/>
  <c r="BH726" i="4" s="1"/>
  <c r="ER670" i="4"/>
  <c r="ER644" i="4"/>
  <c r="EM647" i="4"/>
  <c r="EM671" i="4"/>
  <c r="EM661" i="4"/>
  <c r="EW673" i="4"/>
  <c r="EW677" i="4"/>
  <c r="EW651" i="4"/>
  <c r="EW656" i="4"/>
  <c r="EW648" i="4"/>
  <c r="EW650" i="4"/>
  <c r="T18" i="10"/>
  <c r="G60" i="10" s="1"/>
  <c r="ER656" i="4"/>
  <c r="BG740" i="4"/>
  <c r="BH740" i="4" s="1"/>
  <c r="EH650" i="4"/>
  <c r="EM674" i="4"/>
  <c r="EC654" i="4"/>
  <c r="EM676" i="4"/>
  <c r="BG733" i="4"/>
  <c r="BH733" i="4" s="1"/>
  <c r="BG758" i="4"/>
  <c r="BH758" i="4" s="1"/>
  <c r="BG753" i="4"/>
  <c r="BH753" i="4" s="1"/>
  <c r="BG732" i="4"/>
  <c r="BH732" i="4" s="1"/>
  <c r="ER647" i="4"/>
  <c r="T27" i="8"/>
  <c r="T28" i="8" s="1"/>
  <c r="D27" i="14"/>
  <c r="ER652" i="4"/>
  <c r="DO810" i="4"/>
  <c r="Y27" i="8"/>
  <c r="EM653" i="4"/>
  <c r="S42" i="5"/>
  <c r="EM650" i="4"/>
  <c r="DX665" i="4"/>
  <c r="BG735" i="4"/>
  <c r="BH735" i="4" s="1"/>
  <c r="BG756" i="4"/>
  <c r="BH756" i="4" s="1"/>
  <c r="EM669" i="4"/>
  <c r="FO761" i="4"/>
  <c r="ER661" i="4"/>
  <c r="D39" i="14"/>
  <c r="DX648" i="4"/>
  <c r="DX649" i="4"/>
  <c r="BG730" i="4"/>
  <c r="BH730" i="4" s="1"/>
  <c r="BG736" i="4"/>
  <c r="BH736" i="4" s="1"/>
  <c r="BG744" i="4"/>
  <c r="BH744" i="4" s="1"/>
  <c r="ER669" i="4"/>
  <c r="DX663" i="4"/>
  <c r="ER654" i="4"/>
  <c r="D9" i="14"/>
  <c r="ER675" i="4"/>
  <c r="ER664" i="4"/>
  <c r="DX652" i="4"/>
  <c r="EM657" i="4"/>
  <c r="EC658" i="4"/>
  <c r="BG742" i="4"/>
  <c r="BH742" i="4" s="1"/>
  <c r="BG731" i="4"/>
  <c r="BH731" i="4" s="1"/>
  <c r="ER665" i="4"/>
  <c r="EM666" i="4"/>
  <c r="EM648" i="4"/>
  <c r="ER649" i="4"/>
  <c r="EM652" i="4"/>
  <c r="ER651" i="4"/>
  <c r="C97" i="5"/>
  <c r="C105" i="5" s="1"/>
  <c r="D82" i="14"/>
  <c r="Y69" i="8"/>
  <c r="BE68" i="4"/>
  <c r="D63" i="14"/>
  <c r="T97" i="5"/>
  <c r="H63" i="6"/>
  <c r="CT806" i="4"/>
  <c r="DU808" i="4" s="1"/>
  <c r="DU807" i="4"/>
  <c r="EH655" i="4"/>
  <c r="DX677" i="4"/>
  <c r="EC643" i="4"/>
  <c r="DX646" i="4"/>
  <c r="DX675" i="4"/>
  <c r="DX654" i="4"/>
  <c r="B13" i="14"/>
  <c r="B64" i="14"/>
  <c r="B98" i="14" s="1"/>
  <c r="B106" i="14" s="1"/>
  <c r="EC661" i="4"/>
  <c r="EH673" i="4"/>
  <c r="EC677" i="4"/>
  <c r="EC666" i="4"/>
  <c r="EC656" i="4"/>
  <c r="EC647" i="4"/>
  <c r="EZ761" i="4"/>
  <c r="DX643" i="4"/>
  <c r="AG1058" i="4"/>
  <c r="AW120" i="9"/>
  <c r="CP810" i="4"/>
  <c r="AB995" i="4" s="1"/>
  <c r="AJ995" i="4" s="1"/>
  <c r="CT763" i="4"/>
  <c r="DO762" i="4"/>
  <c r="DX647" i="4"/>
  <c r="DX671" i="4"/>
  <c r="DX667" i="4"/>
  <c r="DX664" i="4"/>
  <c r="DX660" i="4"/>
  <c r="DX673" i="4"/>
  <c r="DX669" i="4"/>
  <c r="DX666" i="4"/>
  <c r="EH662" i="4"/>
  <c r="EH651" i="4"/>
  <c r="DX672" i="4"/>
  <c r="DE810" i="4"/>
  <c r="AB998" i="4" s="1"/>
  <c r="AJ998" i="4" s="1"/>
  <c r="EH668" i="4"/>
  <c r="DX676" i="4"/>
  <c r="M53" i="12"/>
  <c r="K58" i="12"/>
  <c r="I6" i="12"/>
  <c r="G7" i="12"/>
  <c r="DD763" i="4"/>
  <c r="EH667" i="4"/>
  <c r="CZ810" i="4"/>
  <c r="AB997" i="4" s="1"/>
  <c r="AJ997" i="4" s="1"/>
  <c r="EH665" i="4"/>
  <c r="EH661" i="4"/>
  <c r="EH675" i="4"/>
  <c r="EH649" i="4"/>
  <c r="EH674" i="4"/>
  <c r="EH670" i="4"/>
  <c r="EH656" i="4"/>
  <c r="EH652" i="4"/>
  <c r="EH663" i="4"/>
  <c r="EH659" i="4"/>
  <c r="EH648" i="4"/>
  <c r="EH677" i="4"/>
  <c r="EH647" i="4"/>
  <c r="CT786" i="4"/>
  <c r="DU786" i="4" s="1"/>
  <c r="DU785" i="4"/>
  <c r="EW643" i="4"/>
  <c r="FY761" i="4"/>
  <c r="EH654" i="4"/>
  <c r="DX657" i="4"/>
  <c r="AG1054" i="4"/>
  <c r="G22" i="12"/>
  <c r="G35" i="12" s="1"/>
  <c r="I15" i="12"/>
  <c r="J29" i="7"/>
  <c r="AT28" i="7" s="1"/>
  <c r="CY763" i="4"/>
  <c r="CU810" i="4"/>
  <c r="AB996" i="4" s="1"/>
  <c r="AJ996" i="4" s="1"/>
  <c r="EC672" i="4"/>
  <c r="EC668" i="4"/>
  <c r="EC650" i="4"/>
  <c r="EC671" i="4"/>
  <c r="EC667" i="4"/>
  <c r="EC664" i="4"/>
  <c r="EC674" i="4"/>
  <c r="EC670" i="4"/>
  <c r="EC645" i="4"/>
  <c r="EC648" i="4"/>
  <c r="EC673" i="4"/>
  <c r="EC669" i="4"/>
  <c r="EC662" i="4"/>
  <c r="EC657" i="4"/>
  <c r="DX656" i="4"/>
  <c r="EC646" i="4"/>
  <c r="EC649" i="4"/>
  <c r="BE8" i="4"/>
  <c r="BA1048" i="4"/>
  <c r="BA1057" i="4" s="1" a="1"/>
  <c r="BA1057" i="4" s="1"/>
  <c r="AW118" i="9"/>
  <c r="B63" i="5"/>
  <c r="B12" i="5"/>
  <c r="N184" i="7"/>
  <c r="N190" i="7" s="1"/>
  <c r="EH657" i="4"/>
  <c r="EC653" i="4"/>
  <c r="EH643" i="4"/>
  <c r="EH669" i="4"/>
  <c r="DX662" i="4"/>
  <c r="E29" i="10"/>
  <c r="EC659" i="4"/>
  <c r="G24" i="10"/>
  <c r="AW115" i="9"/>
  <c r="EC644" i="4"/>
  <c r="EC655" i="4"/>
  <c r="DX674" i="4"/>
  <c r="DX659" i="4"/>
  <c r="EH672" i="4"/>
  <c r="EC660" i="4"/>
  <c r="EC651" i="4"/>
  <c r="EH653" i="4"/>
  <c r="DX655" i="4"/>
  <c r="AW119" i="9"/>
  <c r="EH666" i="4"/>
  <c r="AW117" i="9"/>
  <c r="Y809" i="4"/>
  <c r="EH664" i="4"/>
  <c r="EC652" i="4"/>
  <c r="BT758" i="4"/>
  <c r="BU758" i="4" s="1"/>
  <c r="BT746" i="4"/>
  <c r="BU746" i="4" s="1"/>
  <c r="BT756" i="4"/>
  <c r="BU756" i="4" s="1"/>
  <c r="BT754" i="4"/>
  <c r="BU754" i="4" s="1"/>
  <c r="BT741" i="4"/>
  <c r="BU741" i="4" s="1"/>
  <c r="BT729" i="4"/>
  <c r="BU729" i="4" s="1"/>
  <c r="BT749" i="4"/>
  <c r="BU749" i="4" s="1"/>
  <c r="BT734" i="4"/>
  <c r="BU734" i="4" s="1"/>
  <c r="BT739" i="4"/>
  <c r="BU739" i="4" s="1"/>
  <c r="BT727" i="4"/>
  <c r="BU727" i="4" s="1"/>
  <c r="BT737" i="4"/>
  <c r="BU737" i="4" s="1"/>
  <c r="BT753" i="4"/>
  <c r="BU753" i="4" s="1"/>
  <c r="BT742" i="4"/>
  <c r="BU742" i="4" s="1"/>
  <c r="BT730" i="4"/>
  <c r="BU730" i="4" s="1"/>
  <c r="BT760" i="4"/>
  <c r="BU760" i="4" s="1"/>
  <c r="BT755" i="4"/>
  <c r="BU755" i="4" s="1"/>
  <c r="BT748" i="4"/>
  <c r="BU748" i="4" s="1"/>
  <c r="BT750" i="4"/>
  <c r="BU750" i="4" s="1"/>
  <c r="BT745" i="4"/>
  <c r="BU745" i="4" s="1"/>
  <c r="BT733" i="4"/>
  <c r="BU733" i="4" s="1"/>
  <c r="BT738" i="4"/>
  <c r="BU738" i="4" s="1"/>
  <c r="BT726" i="4"/>
  <c r="BT736" i="4"/>
  <c r="BU736" i="4" s="1"/>
  <c r="BT728" i="4"/>
  <c r="BU728" i="4" s="1"/>
  <c r="BT752" i="4"/>
  <c r="BU752" i="4" s="1"/>
  <c r="BT751" i="4"/>
  <c r="BU751" i="4" s="1"/>
  <c r="BT743" i="4"/>
  <c r="BU743" i="4" s="1"/>
  <c r="BT731" i="4"/>
  <c r="BU731" i="4" s="1"/>
  <c r="BT744" i="4"/>
  <c r="BU744" i="4" s="1"/>
  <c r="BT732" i="4"/>
  <c r="BU732" i="4" s="1"/>
  <c r="BT747" i="4"/>
  <c r="BU747" i="4" s="1"/>
  <c r="BT759" i="4"/>
  <c r="BU759" i="4" s="1"/>
  <c r="BT757" i="4"/>
  <c r="BU757" i="4" s="1"/>
  <c r="BT735" i="4"/>
  <c r="BU735" i="4" s="1"/>
  <c r="BT740" i="4"/>
  <c r="BU740" i="4" s="1"/>
  <c r="EC665" i="4"/>
  <c r="FT761" i="4"/>
  <c r="ER643" i="4"/>
  <c r="DX651" i="4"/>
  <c r="EH658" i="4"/>
  <c r="DX644" i="4"/>
  <c r="EH646" i="4"/>
  <c r="DX658" i="4"/>
  <c r="EH645" i="4"/>
  <c r="C64" i="14"/>
  <c r="I8" i="12"/>
  <c r="G9" i="12"/>
  <c r="I1057" i="4"/>
  <c r="AY1014" i="4" s="1"/>
  <c r="I1061" i="4"/>
  <c r="AY1015" i="4" s="1"/>
  <c r="AC894" i="4"/>
  <c r="EH671" i="4"/>
  <c r="EC663" i="4"/>
  <c r="EH660" i="4"/>
  <c r="G153" i="10"/>
  <c r="G155" i="10" s="1"/>
  <c r="I16" i="10" s="1"/>
  <c r="DX653" i="4"/>
  <c r="DX668" i="4"/>
  <c r="O28" i="10" l="1"/>
  <c r="P28" i="10" s="1" a="1"/>
  <c r="P28" i="10" s="1"/>
  <c r="O42" i="10"/>
  <c r="P42" i="10" s="1" a="1"/>
  <c r="P42" i="10" s="1"/>
  <c r="O41" i="10"/>
  <c r="P41" i="10" s="1" a="1"/>
  <c r="P41" i="10" s="1"/>
  <c r="O44" i="10"/>
  <c r="P44" i="10" s="1" a="1"/>
  <c r="P44" i="10" s="1"/>
  <c r="O43" i="10"/>
  <c r="P43" i="10" s="1" a="1"/>
  <c r="P43" i="10" s="1"/>
  <c r="AZ1057" i="4"/>
  <c r="AC464" i="4"/>
  <c r="B97" i="5"/>
  <c r="G37" i="10"/>
  <c r="G159" i="10" s="1"/>
  <c r="I17" i="10" s="1"/>
  <c r="T826" i="9"/>
  <c r="AF826" i="9" s="1"/>
  <c r="BE71" i="4" s="1"/>
  <c r="BB5" i="7" a="1"/>
  <c r="BB5" i="7" s="1"/>
  <c r="O40" i="10"/>
  <c r="P40" i="10" s="1" a="1"/>
  <c r="P40" i="10" s="1"/>
  <c r="BB6" i="7" a="1"/>
  <c r="BB6" i="7" s="1"/>
  <c r="O26" i="10"/>
  <c r="P26" i="10" s="1" a="1"/>
  <c r="P26" i="10" s="1"/>
  <c r="AB999" i="4"/>
  <c r="AJ999" i="4" s="1"/>
  <c r="AJ1001" i="4" s="1"/>
  <c r="AJ1058" i="4" s="1"/>
  <c r="AP566" i="9" s="1"/>
  <c r="O39" i="10"/>
  <c r="P39" i="10" s="1" a="1"/>
  <c r="P39" i="10" s="1"/>
  <c r="D13" i="14"/>
  <c r="AX707" i="9"/>
  <c r="AY708" i="9" s="1"/>
  <c r="AT24" i="7"/>
  <c r="O23" i="10"/>
  <c r="P23" i="10" s="1" a="1"/>
  <c r="P23" i="10" s="1"/>
  <c r="O36" i="10"/>
  <c r="P36" i="10" s="1" a="1"/>
  <c r="P36" i="10" s="1"/>
  <c r="O35" i="10"/>
  <c r="P35" i="10" s="1" a="1"/>
  <c r="P35" i="10" s="1"/>
  <c r="EM678" i="4"/>
  <c r="T129" i="9" s="1"/>
  <c r="T132" i="9" s="1"/>
  <c r="T135" i="9" s="1"/>
  <c r="O32" i="10"/>
  <c r="P32" i="10" s="1" a="1"/>
  <c r="P32" i="10" s="1"/>
  <c r="O31" i="10"/>
  <c r="P31" i="10" s="1" a="1"/>
  <c r="P31" i="10" s="1"/>
  <c r="O24" i="10"/>
  <c r="P24" i="10" s="1" a="1"/>
  <c r="P24" i="10" s="1"/>
  <c r="O38" i="10"/>
  <c r="P38" i="10" s="1" a="1"/>
  <c r="P38" i="10" s="1"/>
  <c r="O30" i="10"/>
  <c r="P30" i="10" s="1" a="1"/>
  <c r="P30" i="10" s="1"/>
  <c r="O20" i="10"/>
  <c r="P20" i="10" s="1" a="1"/>
  <c r="P20" i="10" s="1"/>
  <c r="O21" i="10"/>
  <c r="P21" i="10" s="1" a="1"/>
  <c r="P21" i="10" s="1"/>
  <c r="O37" i="10"/>
  <c r="P37" i="10" s="1" a="1"/>
  <c r="P37" i="10" s="1"/>
  <c r="O29" i="10"/>
  <c r="P29" i="10" s="1" a="1"/>
  <c r="P29" i="10" s="1"/>
  <c r="O25" i="10"/>
  <c r="P25" i="10" s="1" a="1"/>
  <c r="P25" i="10" s="1"/>
  <c r="O27" i="10"/>
  <c r="P27" i="10" s="1" a="1"/>
  <c r="P27" i="10" s="1"/>
  <c r="O33" i="10"/>
  <c r="P33" i="10" s="1" a="1"/>
  <c r="P33" i="10" s="1"/>
  <c r="O34" i="10"/>
  <c r="P34" i="10" s="1" a="1"/>
  <c r="P34" i="10" s="1"/>
  <c r="B97" i="6"/>
  <c r="ER678" i="4"/>
  <c r="Y129" i="9" s="1"/>
  <c r="Y132" i="9" s="1"/>
  <c r="Y135" i="9" s="1"/>
  <c r="EW678" i="4"/>
  <c r="AD129" i="9" s="1"/>
  <c r="AD132" i="9" s="1"/>
  <c r="AD135" i="9" s="1"/>
  <c r="S63" i="5"/>
  <c r="E42" i="6"/>
  <c r="BH761" i="4"/>
  <c r="AC761" i="4" s="1"/>
  <c r="BG761" i="4"/>
  <c r="AT23" i="7"/>
  <c r="O22" i="10"/>
  <c r="P22" i="10" s="1" a="1"/>
  <c r="P22" i="10" s="1"/>
  <c r="I9" i="12"/>
  <c r="K8" i="12"/>
  <c r="C98" i="14"/>
  <c r="D64" i="14"/>
  <c r="BT761" i="4"/>
  <c r="BU726" i="4"/>
  <c r="BU761" i="4" s="1"/>
  <c r="AH761" i="4" s="1"/>
  <c r="BE43" i="4" s="1"/>
  <c r="AT21" i="7"/>
  <c r="I7" i="12"/>
  <c r="K6" i="12"/>
  <c r="E4" i="12"/>
  <c r="Z826" i="4"/>
  <c r="BB4" i="7" a="1"/>
  <c r="BB4" i="7" s="1"/>
  <c r="AT20" i="7"/>
  <c r="AT22" i="7"/>
  <c r="H97" i="6"/>
  <c r="T105" i="5"/>
  <c r="DX678" i="4"/>
  <c r="E129" i="9" s="1"/>
  <c r="E132" i="9" s="1"/>
  <c r="E135" i="9" s="1"/>
  <c r="AG268" i="9"/>
  <c r="BE101" i="4"/>
  <c r="B105" i="5"/>
  <c r="B105" i="6"/>
  <c r="AY45" i="7"/>
  <c r="AY43" i="7"/>
  <c r="AT29" i="7"/>
  <c r="AY41" i="7"/>
  <c r="AT27" i="7"/>
  <c r="AT25" i="7"/>
  <c r="AY40" i="7"/>
  <c r="AT26" i="7"/>
  <c r="AY44" i="7"/>
  <c r="AY38" i="7"/>
  <c r="AY42" i="7"/>
  <c r="AY39" i="7"/>
  <c r="AY36" i="7"/>
  <c r="AY37" i="7"/>
  <c r="AY47" i="7"/>
  <c r="AY46" i="7"/>
  <c r="O53" i="12"/>
  <c r="M58" i="12"/>
  <c r="BE9" i="4"/>
  <c r="AT19" i="7"/>
  <c r="G61" i="10"/>
  <c r="G63" i="10" s="1"/>
  <c r="G65" i="10" s="1"/>
  <c r="E13" i="10" s="1"/>
  <c r="G52" i="10"/>
  <c r="G54" i="10" s="1"/>
  <c r="G56" i="10" s="1"/>
  <c r="E12" i="10" s="1"/>
  <c r="F28" i="10"/>
  <c r="G28" i="10" s="1"/>
  <c r="F27" i="10"/>
  <c r="AW121" i="9"/>
  <c r="T827" i="9"/>
  <c r="AF827" i="9" s="1"/>
  <c r="BE72" i="4" s="1"/>
  <c r="AK190" i="9"/>
  <c r="T833" i="9" s="1"/>
  <c r="AF833" i="9" s="1"/>
  <c r="BE76" i="4" s="1"/>
  <c r="EH678" i="4"/>
  <c r="O129" i="9" s="1"/>
  <c r="O132" i="9" s="1"/>
  <c r="O135" i="9" s="1"/>
  <c r="EC678" i="4"/>
  <c r="J129" i="9" s="1"/>
  <c r="J132" i="9" s="1"/>
  <c r="J135" i="9" s="1"/>
  <c r="K15" i="12"/>
  <c r="I22" i="12"/>
  <c r="I35" i="12" s="1"/>
  <c r="DU763" i="4"/>
  <c r="S44" i="10" l="1"/>
  <c r="S43" i="10"/>
  <c r="S41" i="10"/>
  <c r="S42" i="10"/>
  <c r="S28" i="10"/>
  <c r="C39" i="10"/>
  <c r="AB1000" i="4"/>
  <c r="E102" i="9"/>
  <c r="E105" i="9" s="1"/>
  <c r="AP105" i="9" s="1"/>
  <c r="AK108" i="9" s="1"/>
  <c r="T828" i="9" s="1"/>
  <c r="AF828" i="9" s="1"/>
  <c r="BE73" i="4" s="1"/>
  <c r="AC463" i="4"/>
  <c r="BE44" i="4" s="1"/>
  <c r="S30" i="10"/>
  <c r="S38" i="10"/>
  <c r="S24" i="10"/>
  <c r="S26" i="10"/>
  <c r="S37" i="10"/>
  <c r="S21" i="10"/>
  <c r="S20" i="10"/>
  <c r="S31" i="10"/>
  <c r="S32" i="10"/>
  <c r="S27" i="10"/>
  <c r="S35" i="10"/>
  <c r="S25" i="10"/>
  <c r="S36" i="10"/>
  <c r="S39" i="10"/>
  <c r="S34" i="10"/>
  <c r="S33" i="10"/>
  <c r="S29" i="10"/>
  <c r="S23" i="10"/>
  <c r="S40" i="10"/>
  <c r="AX708" i="9"/>
  <c r="AO708" i="9" s="1"/>
  <c r="AP718" i="9" s="1"/>
  <c r="AJ1054" i="4"/>
  <c r="AP565" i="9" s="1"/>
  <c r="E92" i="9"/>
  <c r="E93" i="9" s="1"/>
  <c r="E94" i="9" s="1"/>
  <c r="BE42" i="4"/>
  <c r="S22" i="10"/>
  <c r="BE10" i="4"/>
  <c r="BE11" i="4" s="1"/>
  <c r="BE12" i="4" s="1"/>
  <c r="E63" i="6"/>
  <c r="S97" i="5"/>
  <c r="E11" i="10"/>
  <c r="G4" i="12"/>
  <c r="E5" i="12"/>
  <c r="E11" i="12" s="1"/>
  <c r="E37" i="12" s="1"/>
  <c r="C106" i="14"/>
  <c r="D106" i="14" s="1"/>
  <c r="D98" i="14"/>
  <c r="K9" i="12"/>
  <c r="M8" i="12"/>
  <c r="M6" i="12"/>
  <c r="K7" i="12"/>
  <c r="E137" i="9"/>
  <c r="E138" i="9" s="1"/>
  <c r="AK142" i="9" s="1"/>
  <c r="T829" i="9" s="1"/>
  <c r="AF829" i="9" s="1"/>
  <c r="BE74" i="4" s="1"/>
  <c r="O58" i="12"/>
  <c r="Q53" i="12"/>
  <c r="H105" i="6"/>
  <c r="T107" i="5"/>
  <c r="O764" i="4"/>
  <c r="DU810" i="4"/>
  <c r="U386" i="9" s="1"/>
  <c r="P430" i="4"/>
  <c r="N180" i="7"/>
  <c r="AB47" i="8"/>
  <c r="AB49" i="8" s="1"/>
  <c r="BE22" i="4"/>
  <c r="AB265" i="9"/>
  <c r="AG267" i="9" s="1"/>
  <c r="AG269" i="9" s="1"/>
  <c r="AK272" i="9" s="1"/>
  <c r="T834" i="9" s="1"/>
  <c r="K22" i="12"/>
  <c r="K35" i="12" s="1"/>
  <c r="M15" i="12"/>
  <c r="G27" i="10"/>
  <c r="F26" i="10"/>
  <c r="AP563" i="9"/>
  <c r="AP719" i="9" l="1"/>
  <c r="AJ724" i="9" s="1"/>
  <c r="AK816" i="9" s="1"/>
  <c r="T841" i="9" s="1"/>
  <c r="AF841" i="9" s="1"/>
  <c r="BE82" i="4" s="1"/>
  <c r="G45" i="10"/>
  <c r="G47" i="10" s="1"/>
  <c r="E10" i="10" s="1"/>
  <c r="AJ1062" i="4"/>
  <c r="T24" i="8" s="1"/>
  <c r="AP567" i="9"/>
  <c r="BE13" i="4"/>
  <c r="BE14" i="4" s="1"/>
  <c r="BE15" i="4" s="1"/>
  <c r="AZ1055" i="4"/>
  <c r="E97" i="6"/>
  <c r="S105" i="5"/>
  <c r="E45" i="12"/>
  <c r="E49" i="12"/>
  <c r="G26" i="10"/>
  <c r="G29" i="10"/>
  <c r="F29" i="10"/>
  <c r="O15" i="12"/>
  <c r="M22" i="12"/>
  <c r="M35" i="12" s="1"/>
  <c r="S53" i="12"/>
  <c r="Q58" i="12"/>
  <c r="M9" i="12"/>
  <c r="O8" i="12"/>
  <c r="H107" i="6"/>
  <c r="AI11" i="8" s="1"/>
  <c r="AI23" i="8" s="1"/>
  <c r="AI26" i="8" s="1"/>
  <c r="AI28" i="8" s="1"/>
  <c r="G5" i="12"/>
  <c r="G11" i="12" s="1"/>
  <c r="G37" i="12" s="1"/>
  <c r="I4" i="12"/>
  <c r="AB54" i="8"/>
  <c r="AB55" i="8" s="1"/>
  <c r="N181" i="7"/>
  <c r="N191" i="7"/>
  <c r="M7" i="12"/>
  <c r="O6" i="12"/>
  <c r="AP570" i="9" l="1"/>
  <c r="AP569" i="9" s="1"/>
  <c r="AP572" i="9" s="1"/>
  <c r="AF565" i="9" s="1"/>
  <c r="S107" i="5"/>
  <c r="E105" i="6"/>
  <c r="I9" i="10"/>
  <c r="AZ1060" i="4"/>
  <c r="BA1065" i="4"/>
  <c r="G110" i="10"/>
  <c r="G102" i="10"/>
  <c r="G104" i="10" s="1"/>
  <c r="E16" i="10" s="1"/>
  <c r="G31" i="10"/>
  <c r="G33" i="10" s="1"/>
  <c r="E9" i="10" s="1"/>
  <c r="G125" i="10"/>
  <c r="G93" i="10"/>
  <c r="G94" i="10" s="1"/>
  <c r="E15" i="10" s="1"/>
  <c r="G45" i="12"/>
  <c r="G49" i="12"/>
  <c r="I5" i="12"/>
  <c r="I11" i="12" s="1"/>
  <c r="I37" i="12" s="1"/>
  <c r="K4" i="12"/>
  <c r="Q6" i="12"/>
  <c r="O7" i="12"/>
  <c r="Q8" i="12"/>
  <c r="O9" i="12"/>
  <c r="S58" i="12"/>
  <c r="U53" i="12"/>
  <c r="Q15" i="12"/>
  <c r="O22" i="12"/>
  <c r="O35" i="12" s="1"/>
  <c r="E48" i="12"/>
  <c r="E47" i="12"/>
  <c r="E60" i="12"/>
  <c r="BA1064" i="4" l="1"/>
  <c r="BA1068" i="4" s="1"/>
  <c r="G166" i="10"/>
  <c r="G165" i="10"/>
  <c r="E107" i="6"/>
  <c r="Y11" i="8" s="1"/>
  <c r="Y23" i="8" s="1"/>
  <c r="AC465" i="4"/>
  <c r="AF564" i="9"/>
  <c r="AF566" i="9" s="1"/>
  <c r="AK572" i="9" s="1"/>
  <c r="T840" i="9" s="1"/>
  <c r="AF840" i="9" s="1"/>
  <c r="AA1065" i="4"/>
  <c r="I49" i="12"/>
  <c r="I45" i="12"/>
  <c r="K5" i="12"/>
  <c r="K11" i="12" s="1"/>
  <c r="K37" i="12" s="1"/>
  <c r="M4" i="12"/>
  <c r="E62" i="12"/>
  <c r="E67" i="12"/>
  <c r="E66" i="12"/>
  <c r="G47" i="12"/>
  <c r="G60" i="12"/>
  <c r="G48" i="12"/>
  <c r="S8" i="12"/>
  <c r="Q9" i="12"/>
  <c r="Q7" i="12"/>
  <c r="S6" i="12"/>
  <c r="Q22" i="12"/>
  <c r="Q35" i="12" s="1"/>
  <c r="S15" i="12"/>
  <c r="W53" i="12"/>
  <c r="U58" i="12"/>
  <c r="G115" i="10"/>
  <c r="G127" i="10"/>
  <c r="G111" i="10"/>
  <c r="AA1066" i="4" l="1"/>
  <c r="G1067" i="4" s="1"/>
  <c r="BE81" i="4"/>
  <c r="AF843" i="9"/>
  <c r="BE70" i="4" s="1"/>
  <c r="Y26" i="8"/>
  <c r="Y28" i="8" s="1"/>
  <c r="T29" i="8" s="1"/>
  <c r="AD38" i="8"/>
  <c r="AD40" i="8" s="1"/>
  <c r="E70" i="12"/>
  <c r="E72" i="12" s="1"/>
  <c r="G129" i="10"/>
  <c r="E17" i="10" s="1"/>
  <c r="E14" i="10" s="1"/>
  <c r="E18" i="10" s="1"/>
  <c r="H3" i="10" s="1"/>
  <c r="Y53" i="12"/>
  <c r="W58" i="12"/>
  <c r="U15" i="12"/>
  <c r="S22" i="12"/>
  <c r="S35" i="12" s="1"/>
  <c r="S7" i="12"/>
  <c r="U6" i="12"/>
  <c r="M5" i="12"/>
  <c r="M11" i="12" s="1"/>
  <c r="M37" i="12" s="1"/>
  <c r="O4" i="12"/>
  <c r="S9" i="12"/>
  <c r="U8" i="12"/>
  <c r="K49" i="12"/>
  <c r="K45" i="12"/>
  <c r="I48" i="12"/>
  <c r="I60" i="12"/>
  <c r="I47" i="12"/>
  <c r="G67" i="12"/>
  <c r="G66" i="12"/>
  <c r="G62" i="12"/>
  <c r="Y38" i="8" l="1"/>
  <c r="Y40" i="8" s="1"/>
  <c r="Y41" i="8" s="1"/>
  <c r="AB56" i="8" s="1"/>
  <c r="AB57" i="8" s="1"/>
  <c r="AB59" i="8" s="1"/>
  <c r="AB77" i="8" s="1"/>
  <c r="AB78" i="8" s="1"/>
  <c r="G70" i="12"/>
  <c r="G72" i="12" s="1"/>
  <c r="W8" i="12"/>
  <c r="U9" i="12"/>
  <c r="M45" i="12"/>
  <c r="M49" i="12"/>
  <c r="O5" i="12"/>
  <c r="O11" i="12" s="1"/>
  <c r="O37" i="12" s="1"/>
  <c r="Q4" i="12"/>
  <c r="U7" i="12"/>
  <c r="W6" i="12"/>
  <c r="I67" i="12"/>
  <c r="I66" i="12"/>
  <c r="I62" i="12"/>
  <c r="W15" i="12"/>
  <c r="U22" i="12"/>
  <c r="U35" i="12" s="1"/>
  <c r="K48" i="12"/>
  <c r="K47" i="12"/>
  <c r="K60" i="12"/>
  <c r="Y58" i="12"/>
  <c r="AA53" i="12"/>
  <c r="M26" i="4" l="1"/>
  <c r="Q5" i="12"/>
  <c r="Q11" i="12" s="1"/>
  <c r="Q37" i="12" s="1"/>
  <c r="S4" i="12"/>
  <c r="W7" i="12"/>
  <c r="Y6" i="12"/>
  <c r="AC53" i="12"/>
  <c r="AA58" i="12"/>
  <c r="O49" i="12"/>
  <c r="O45" i="12"/>
  <c r="K67" i="12"/>
  <c r="K62" i="12"/>
  <c r="K66" i="12"/>
  <c r="M60" i="12"/>
  <c r="M48" i="12"/>
  <c r="M47" i="12"/>
  <c r="W22" i="12"/>
  <c r="W35" i="12" s="1"/>
  <c r="Y15" i="12"/>
  <c r="AB79" i="8"/>
  <c r="AB81" i="8" s="1"/>
  <c r="J82" i="8" s="1"/>
  <c r="M27" i="4"/>
  <c r="I10" i="10"/>
  <c r="I11" i="10" s="1"/>
  <c r="I18" i="10" s="1"/>
  <c r="H4" i="10" s="1"/>
  <c r="H5" i="10" s="1"/>
  <c r="BE83" i="4" s="1"/>
  <c r="I70" i="12"/>
  <c r="I72" i="12" s="1"/>
  <c r="W9" i="12"/>
  <c r="Y8" i="12"/>
  <c r="P204" i="4" l="1"/>
  <c r="BE19" i="4"/>
  <c r="Q45" i="12"/>
  <c r="Q49" i="12"/>
  <c r="O48" i="12"/>
  <c r="O47" i="12"/>
  <c r="O60" i="12"/>
  <c r="AE53" i="12"/>
  <c r="AC58" i="12"/>
  <c r="BE20" i="4"/>
  <c r="P205" i="4"/>
  <c r="Y7" i="12"/>
  <c r="AA6" i="12"/>
  <c r="AA15" i="12"/>
  <c r="Y22" i="12"/>
  <c r="Y35" i="12" s="1"/>
  <c r="U4" i="12"/>
  <c r="S5" i="12"/>
  <c r="S11" i="12" s="1"/>
  <c r="S37" i="12" s="1"/>
  <c r="M66" i="12"/>
  <c r="M62" i="12"/>
  <c r="M67" i="12"/>
  <c r="K70" i="12"/>
  <c r="K72" i="12" s="1"/>
  <c r="AA8" i="12"/>
  <c r="Y9" i="12"/>
  <c r="AA7" i="12" l="1"/>
  <c r="AC6" i="12"/>
  <c r="S49" i="12"/>
  <c r="S45" i="12"/>
  <c r="AE58" i="12"/>
  <c r="AG53" i="12"/>
  <c r="AG58" i="12" s="1"/>
  <c r="W4" i="12"/>
  <c r="U5" i="12"/>
  <c r="U11" i="12" s="1"/>
  <c r="U37" i="12" s="1"/>
  <c r="Q48" i="12"/>
  <c r="Q47" i="12"/>
  <c r="Q60" i="12"/>
  <c r="AA9" i="12"/>
  <c r="AC8" i="12"/>
  <c r="M70" i="12"/>
  <c r="M72" i="12" s="1"/>
  <c r="O66" i="12"/>
  <c r="O62" i="12"/>
  <c r="O67" i="12"/>
  <c r="AA22" i="12"/>
  <c r="AA35" i="12" s="1"/>
  <c r="AC15" i="12"/>
  <c r="U45" i="12" l="1"/>
  <c r="U49" i="12"/>
  <c r="AC9" i="12"/>
  <c r="AE8" i="12"/>
  <c r="Q67" i="12"/>
  <c r="Q66" i="12"/>
  <c r="Q62" i="12"/>
  <c r="AC22" i="12"/>
  <c r="AC35" i="12" s="1"/>
  <c r="AE15" i="12"/>
  <c r="W5" i="12"/>
  <c r="W11" i="12" s="1"/>
  <c r="W37" i="12" s="1"/>
  <c r="Y4" i="12"/>
  <c r="O70" i="12"/>
  <c r="O72" i="12" s="1"/>
  <c r="S60" i="12"/>
  <c r="S48" i="12"/>
  <c r="S47" i="12"/>
  <c r="AE6" i="12"/>
  <c r="AC7" i="12"/>
  <c r="Q70" i="12" l="1"/>
  <c r="Q72" i="12" s="1"/>
  <c r="W45" i="12"/>
  <c r="W49" i="12"/>
  <c r="AE22" i="12"/>
  <c r="AE35" i="12" s="1"/>
  <c r="AG15" i="12"/>
  <c r="AG22" i="12" s="1"/>
  <c r="AG35" i="12" s="1"/>
  <c r="AG6" i="12"/>
  <c r="AG7" i="12" s="1"/>
  <c r="AE7" i="12"/>
  <c r="AE9" i="12"/>
  <c r="AG8" i="12"/>
  <c r="AG9" i="12" s="1"/>
  <c r="S62" i="12"/>
  <c r="S66" i="12"/>
  <c r="S67" i="12"/>
  <c r="AA4" i="12"/>
  <c r="Y5" i="12"/>
  <c r="Y11" i="12" s="1"/>
  <c r="Y37" i="12" s="1"/>
  <c r="U47" i="12"/>
  <c r="U60" i="12"/>
  <c r="U48" i="12"/>
  <c r="Y45" i="12" l="1"/>
  <c r="Y49" i="12"/>
  <c r="S70" i="12"/>
  <c r="S72" i="12" s="1"/>
  <c r="U62" i="12"/>
  <c r="U67" i="12"/>
  <c r="U66" i="12"/>
  <c r="AA5" i="12"/>
  <c r="AA11" i="12" s="1"/>
  <c r="AA37" i="12" s="1"/>
  <c r="AC4" i="12"/>
  <c r="W47" i="12"/>
  <c r="W48" i="12"/>
  <c r="W60" i="12"/>
  <c r="U70" i="12" l="1"/>
  <c r="U72" i="12" s="1"/>
  <c r="AA45" i="12"/>
  <c r="AA49" i="12"/>
  <c r="AE4" i="12"/>
  <c r="AC5" i="12"/>
  <c r="AC11" i="12" s="1"/>
  <c r="AC37" i="12" s="1"/>
  <c r="W66" i="12"/>
  <c r="W62" i="12"/>
  <c r="W67" i="12"/>
  <c r="Y60" i="12"/>
  <c r="Y48" i="12"/>
  <c r="Y47" i="12"/>
  <c r="AC45" i="12" l="1"/>
  <c r="AC49" i="12"/>
  <c r="Y67" i="12"/>
  <c r="Y62" i="12"/>
  <c r="Y66" i="12"/>
  <c r="W70" i="12"/>
  <c r="W72" i="12" s="1"/>
  <c r="AE5" i="12"/>
  <c r="AE11" i="12" s="1"/>
  <c r="AE37" i="12" s="1"/>
  <c r="AG4" i="12"/>
  <c r="AA60" i="12"/>
  <c r="AA47" i="12"/>
  <c r="AA48" i="12"/>
  <c r="Y70" i="12" l="1"/>
  <c r="Y72" i="12" s="1"/>
  <c r="AE45" i="12"/>
  <c r="AE49" i="12"/>
  <c r="AG5" i="12"/>
  <c r="AG11" i="12" s="1"/>
  <c r="AG37" i="12" s="1"/>
  <c r="AA67" i="12"/>
  <c r="AA66" i="12"/>
  <c r="AA62" i="12"/>
  <c r="AC48" i="12"/>
  <c r="AC47" i="12"/>
  <c r="AC60" i="12"/>
  <c r="AA70" i="12" l="1"/>
  <c r="AA72" i="12" s="1"/>
  <c r="AC62" i="12"/>
  <c r="AC67" i="12"/>
  <c r="AC66" i="12"/>
  <c r="AG49" i="12"/>
  <c r="AG45" i="12"/>
  <c r="AE47" i="12"/>
  <c r="AE60" i="12"/>
  <c r="AE48" i="12"/>
  <c r="AE67" i="12" l="1"/>
  <c r="AE66" i="12"/>
  <c r="AE62" i="12"/>
  <c r="AG48" i="12"/>
  <c r="AG60" i="12"/>
  <c r="AG47" i="12"/>
  <c r="AC70" i="12"/>
  <c r="AC72" i="12" s="1"/>
  <c r="AE70" i="12" l="1"/>
  <c r="AE72" i="12" s="1"/>
  <c r="AG67" i="12"/>
  <c r="AG66" i="12"/>
  <c r="AG62" i="12"/>
  <c r="AG70" i="12" l="1"/>
  <c r="AG72" i="12" s="1"/>
  <c r="R9" i="5" l="1"/>
  <c r="R11" i="5" s="1"/>
  <c r="R12" i="5" s="1"/>
  <c r="E11" i="5"/>
  <c r="E12" i="5" s="1"/>
  <c r="G11" i="5"/>
  <c r="G12" i="5" s="1"/>
  <c r="G63" i="5" l="1"/>
  <c r="G97" i="5" s="1"/>
  <c r="G105" i="5" s="1"/>
  <c r="E63" i="5"/>
  <c r="E97" i="5" s="1"/>
  <c r="E105" i="5" s="1"/>
  <c r="R63" i="5"/>
  <c r="R97" i="5" s="1"/>
  <c r="R105"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sz val="10"/>
            <rFont val="Arial"/>
            <family val="2"/>
          </rPr>
          <t xml:space="preserve">SooHoo, D: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300-000001000000}">
      <text>
        <r>
          <rPr>
            <sz val="10"/>
            <rFont val="Arial"/>
            <family val="2"/>
          </rPr>
          <t>Please contact CTCAC staff if you need assistance in selecting the type of state credit.  For 2025, the 15% set-aside is available to rehabilitation projects only. State Farmworker Credit pursuant to 10310(b)(2)(D) does not include any portion of the $500M state credit.</t>
        </r>
      </text>
    </comment>
    <comment ref="AA344" authorId="1" shapeId="0" xr:uid="{00000000-0006-0000-0300-000002000000}">
      <text>
        <r>
          <rPr>
            <sz val="10"/>
            <rFont val="Arial"/>
            <family val="2"/>
          </rPr>
          <t>Experienced property management company requesting points must be listed here.</t>
        </r>
      </text>
    </comment>
    <comment ref="M559" authorId="1" shapeId="0" xr:uid="{00000000-0006-0000-0300-000003000000}">
      <text>
        <r>
          <rPr>
            <sz val="10"/>
            <rFont val="Arial"/>
            <family val="2"/>
          </rPr>
          <t>Separate taxable and tax-exempt bond amounts. This section is linked to the tie breaker. Multiple tranches of tax-exempt bonds may be separated. Ensure recycled bonds are marked as such.</t>
        </r>
      </text>
    </comment>
    <comment ref="J787" authorId="1" shapeId="0" xr:uid="{00000000-0006-0000-0300-000004000000}">
      <text>
        <r>
          <rPr>
            <sz val="10"/>
            <rFont val="Arial"/>
            <family val="2"/>
          </rPr>
          <t>Include prior approval of Executive Director in Tab 10 when selecting this option.</t>
        </r>
      </text>
    </comment>
    <comment ref="Z817" authorId="2" shapeId="0" xr:uid="{00000000-0006-0000-0300-000005000000}">
      <text>
        <r>
          <rPr>
            <sz val="10"/>
            <rFont val="Arial"/>
            <family val="2"/>
          </rPr>
          <t xml:space="preserve">Complete the Subsidy Contract Calculation tab, the annual rental subsidy overhang amount will automatically populate
</t>
        </r>
      </text>
    </comment>
    <comment ref="AA927" authorId="1" shapeId="0" xr:uid="{00000000-0006-0000-0300-000006000000}">
      <text>
        <r>
          <rPr>
            <sz val="10"/>
            <rFont val="Arial"/>
            <family val="2"/>
          </rPr>
          <t xml:space="preserve">Must match the sum of "Loan, Tax-Exempt" in Construction Financing table. This number should also match the PDF Joint Application submitted.
</t>
        </r>
      </text>
    </comment>
    <comment ref="R995" authorId="3" shapeId="0" xr:uid="{00000000-0006-0000-0300-000007000000}">
      <text>
        <r>
          <rPr>
            <sz val="10"/>
            <rFont val="Arial"/>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400-000001000000}">
      <text>
        <r>
          <rPr>
            <sz val="10"/>
            <rFont val="Arial"/>
            <family val="2"/>
          </rPr>
          <t xml:space="preserve">Lower of appraised "as-is" value or purchase price
</t>
        </r>
      </text>
    </comment>
    <comment ref="B15" authorId="1" shapeId="0" xr:uid="{00000000-0006-0000-0400-000002000000}">
      <text>
        <r>
          <rPr>
            <sz val="10"/>
            <rFont val="Arial"/>
            <family val="2"/>
          </rPr>
          <t>If the purchase price exceeds appraised value, input the overage amount in this row, unless a waiver has been obtained pursuant to CTCAC regulations Section 10327(c)(6)</t>
        </r>
      </text>
    </comment>
    <comment ref="A74" authorId="2" shapeId="0" xr:uid="{00000000-0006-0000-0400-000003000000}">
      <text>
        <r>
          <rPr>
            <sz val="10"/>
            <rFont val="Arial"/>
            <family val="2"/>
          </rPr>
          <t>For projects subject to a CTCAC Capital Needs Covenant</t>
        </r>
      </text>
    </comment>
    <comment ref="A75" authorId="2" shapeId="0" xr:uid="{00000000-0006-0000-0400-000004000000}">
      <text>
        <r>
          <rPr>
            <sz val="10"/>
            <rFont val="Arial"/>
            <family val="2"/>
          </rPr>
          <t xml:space="preserve">Three months of operating expenses and debt service as shown in the 15 year pro forma.
</t>
        </r>
      </text>
    </comment>
    <comment ref="B101" authorId="0" shapeId="0" xr:uid="{00000000-0006-0000-0400-000005000000}">
      <text>
        <r>
          <rPr>
            <sz val="10"/>
            <rFont val="Arial"/>
            <family val="2"/>
          </rPr>
          <t xml:space="preserve">Any project fees paid as brokerage to a related party are part of developer fee.
</t>
        </r>
      </text>
    </comment>
    <comment ref="B102" authorId="0" shapeId="0" xr:uid="{00000000-0006-0000-0400-000006000000}">
      <text>
        <r>
          <rPr>
            <sz val="10"/>
            <rFont val="Arial"/>
            <family val="2"/>
          </rPr>
          <t xml:space="preserve">Any construction management oversight paid to developer or related party are part of developer fees.
</t>
        </r>
      </text>
    </comment>
    <comment ref="S104" authorId="0" shapeId="0" xr:uid="{00000000-0006-0000-0400-000007000000}">
      <text>
        <r>
          <rPr>
            <sz val="10"/>
            <rFont val="Arial"/>
            <family val="2"/>
          </rPr>
          <t>Cannot exceed 15% of cell S96 (for BIPOC project, max is 20%).  See CTCAC Reg. Section 10327(c)(2)(B) for deferral/equity contribution requirements.</t>
        </r>
      </text>
    </comment>
    <comment ref="T104" authorId="0" shapeId="0" xr:uid="{00000000-0006-0000-0400-000008000000}">
      <text>
        <r>
          <rPr>
            <sz val="10"/>
            <rFont val="Arial"/>
            <family val="2"/>
          </rPr>
          <t xml:space="preserve">Acquisition Credits cannot exceed 5% of cell T96 (or 15% if regulatory requirements are met). See 
CTCAC Reg. Section 10327(c)(2)(B) for deferral/ equity contribution requirements.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B24" authorId="0" shapeId="0" xr:uid="{00000000-0006-0000-0700-000001000000}">
      <text>
        <r>
          <rPr>
            <sz val="10"/>
            <rFont val="Arial"/>
            <family val="2"/>
          </rPr>
          <t>The Total Requested Unadjusted Eligible Basis must not exceed the Total Adjusted Threshold Basis Limit.</t>
        </r>
      </text>
    </comment>
    <comment ref="T25" authorId="1" shapeId="0" xr:uid="{00000000-0006-0000-0700-000002000000}">
      <text>
        <r>
          <rPr>
            <sz val="10"/>
            <rFont val="Arial"/>
            <family val="2"/>
          </rPr>
          <t>130% adjustment only for sites located in a DDA/QCT.</t>
        </r>
      </text>
    </comment>
    <comment ref="Y25" authorId="1" shapeId="0" xr:uid="{00000000-0006-0000-0700-000003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00000000-0006-0000-0800-000001000000}">
      <text>
        <r>
          <rPr>
            <sz val="10"/>
            <rFont val="Arial"/>
            <family val="2"/>
          </rPr>
          <t>Enter in Development Team section of Application tab. If there are two property management companies, the one requesting points must be first.</t>
        </r>
      </text>
    </comment>
    <comment ref="AG305" authorId="0" shapeId="0" xr:uid="{00000000-0006-0000-0800-000002000000}">
      <text>
        <r>
          <rPr>
            <sz val="10"/>
            <rFont val="Arial"/>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3000000}">
      <text>
        <r>
          <rPr>
            <sz val="1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00000000-0006-0000-0900-000001000000}">
      <text>
        <r>
          <rPr>
            <sz val="10"/>
            <rFont val="Arial"/>
            <family val="2"/>
          </rPr>
          <t xml:space="preserve">Assumes the greater of: 
• 27.5% of the aggregated depreciable basis plus land basis or 
• the actual amount requested </t>
        </r>
      </text>
    </comment>
    <comment ref="I10" authorId="0" shapeId="0" xr:uid="{00000000-0006-0000-0900-000002000000}">
      <text>
        <r>
          <rPr>
            <sz val="10"/>
            <rFont val="Arial"/>
            <family val="2"/>
          </rPr>
          <t>Excludes state credits for Farmworker Housing</t>
        </r>
      </text>
    </comment>
    <comment ref="F22" authorId="0" shapeId="0" xr:uid="{00000000-0006-0000-0900-000003000000}">
      <text>
        <r>
          <rPr>
            <sz val="10"/>
            <rFont val="Arial"/>
            <family val="2"/>
          </rPr>
          <t>3-bedroom units beyond 30% of the total units shall be counted as 2-bedroom units.
4-bedroom units beyond 10% of the total units shall be counted as 2-bedroom units.</t>
        </r>
      </text>
    </comment>
    <comment ref="C87" authorId="0" shapeId="0" xr:uid="{00000000-0006-0000-0900-000004000000}">
      <text>
        <r>
          <rPr>
            <sz val="10"/>
            <rFont val="Arial"/>
            <family val="2"/>
          </rPr>
          <t>*as specified on the HCD Neighborhood Change Map</t>
        </r>
      </text>
    </comment>
    <comment ref="C140" authorId="0" shapeId="0" xr:uid="{00000000-0006-0000-0900-000005000000}">
      <text>
        <r>
          <rPr>
            <sz val="10"/>
            <rFont val="Arial"/>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B00-000001000000}">
      <text>
        <r>
          <rPr>
            <sz val="10"/>
            <rFont val="Arial"/>
            <family val="2"/>
          </rPr>
          <t>INSERT PERCENTAGE SHARE OF RESIDUAL RECEIPTS CASH FLOW</t>
        </r>
      </text>
    </comment>
    <comment ref="C65" authorId="0" shapeId="0" xr:uid="{00000000-0006-0000-0B00-000002000000}">
      <text>
        <r>
          <rPr>
            <sz val="10"/>
            <rFont val="Arial"/>
            <family val="2"/>
          </rPr>
          <t>INSERT PERCENTAGE SHARE OF RESIDUAL RECEIPTS CASH FLOW</t>
        </r>
      </text>
    </comment>
  </commentList>
</comments>
</file>

<file path=xl/sharedStrings.xml><?xml version="1.0" encoding="utf-8"?>
<sst xmlns="http://schemas.openxmlformats.org/spreadsheetml/2006/main" count="5135" uniqueCount="2791">
  <si>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</si>
  <si>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</si>
  <si>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</si>
  <si>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</si>
  <si>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</si>
  <si>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</si>
  <si>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</si>
  <si>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</si>
  <si>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</si>
  <si>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</si>
  <si>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</si>
  <si>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</si>
  <si>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</si>
  <si>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</si>
  <si>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</si>
  <si>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</si>
  <si>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</si>
  <si>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</si>
  <si>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</si>
  <si>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Construction Type</t>
  </si>
  <si>
    <t>(ii) Community Revitalization Benefit</t>
  </si>
  <si>
    <t>SWBD * .25</t>
  </si>
  <si>
    <t>(iii) Transit/Walkability Benefit</t>
  </si>
  <si>
    <t>Seismic/Environmental</t>
  </si>
  <si>
    <t>Public Benefit</t>
  </si>
  <si>
    <t>Cost-Adjusted Allocation</t>
  </si>
  <si>
    <t>County:</t>
  </si>
  <si>
    <t>Bedrooms</t>
  </si>
  <si>
    <t>Quantity</t>
  </si>
  <si>
    <t>iAMI</t>
  </si>
  <si>
    <t>AMI</t>
  </si>
  <si>
    <t>Restricted Rent</t>
  </si>
  <si>
    <t>Preservation Rent</t>
  </si>
  <si>
    <t>Fair Market Rent</t>
  </si>
  <si>
    <t>Delta</t>
  </si>
  <si>
    <t>Population</t>
  </si>
  <si>
    <t>Federal</t>
  </si>
  <si>
    <t>Bedroom Count</t>
  </si>
  <si>
    <t>Adjustment Factor</t>
  </si>
  <si>
    <t>Actual LI Unit Count</t>
  </si>
  <si>
    <t>Adjusted Unit Count</t>
  </si>
  <si>
    <t>Adjusted Units</t>
  </si>
  <si>
    <t>Total</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</si>
  <si>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</si>
  <si>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</si>
  <si>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</si>
  <si>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</si>
  <si>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</si>
  <si>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</si>
  <si>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</si>
  <si>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</si>
  <si>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</si>
  <si>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</si>
  <si>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</si>
  <si>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</si>
  <si>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</si>
  <si>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</si>
  <si>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</si>
  <si>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</si>
  <si>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</si>
  <si>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</si>
  <si>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</si>
  <si>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</si>
  <si>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</si>
  <si>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</si>
  <si>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</si>
  <si>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</si>
  <si>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</si>
  <si>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Highest Resource</t>
  </si>
  <si>
    <t>Project is Large Family housing type</t>
  </si>
  <si>
    <t>High Resource</t>
  </si>
  <si>
    <t>Project is Permanent Supportive Housing</t>
  </si>
  <si>
    <t>Moderate Resource</t>
  </si>
  <si>
    <t>Opportunity Area Designation</t>
  </si>
  <si>
    <t>Project is located in a neighborhood experiencing 
    neighborhood change*</t>
  </si>
  <si>
    <t>Public Park</t>
  </si>
  <si>
    <t>Library</t>
  </si>
  <si>
    <t>Grocery Store</t>
  </si>
  <si>
    <t>Eligible:</t>
  </si>
  <si>
    <t>Public School</t>
  </si>
  <si>
    <t>Senior Center</t>
  </si>
  <si>
    <t>Pop. Spec. Facility</t>
  </si>
  <si>
    <t>Medical Clinic</t>
  </si>
  <si>
    <t>Resource Area Benefit</t>
  </si>
  <si>
    <t>Pharmacy</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</si>
  <si>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</si>
  <si>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</si>
  <si>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</si>
  <si>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</si>
  <si>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</si>
  <si>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</si>
  <si>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</si>
  <si>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</si>
  <si>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</si>
  <si>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</si>
  <si>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</si>
  <si>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</si>
  <si>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</si>
  <si>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</si>
  <si>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Prevailing Wages</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</si>
  <si>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</si>
  <si>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</si>
  <si>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</si>
  <si>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</si>
  <si>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</si>
  <si>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</si>
  <si>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</si>
  <si>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</si>
  <si>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</si>
  <si>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</si>
  <si>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</si>
  <si>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</si>
  <si>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</si>
  <si>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</si>
  <si>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</si>
  <si>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</si>
  <si>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</si>
  <si>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</si>
  <si>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</si>
  <si>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</si>
  <si>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</si>
  <si>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</si>
  <si>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</si>
  <si>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</si>
  <si>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</si>
  <si>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</si>
  <si>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</si>
  <si>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</si>
  <si>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</si>
  <si>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</si>
  <si>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</si>
  <si>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</si>
  <si>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</si>
  <si>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</si>
  <si>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</si>
  <si>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</si>
  <si>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</si>
  <si>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t>Joint Applications: Applicants must submit the joint application including this Excel file using the CDLAC online application portal. Non-Joint Applications: 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</si>
  <si>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</si>
  <si>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</si>
  <si>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</si>
  <si>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</si>
  <si>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</si>
  <si>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</si>
  <si>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</si>
  <si>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Applicants must submit:</t>
  </si>
  <si>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</si>
  <si>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</si>
  <si>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</si>
  <si>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</si>
  <si>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</si>
  <si>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</si>
  <si>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</si>
  <si>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</si>
  <si>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</si>
  <si>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</si>
  <si>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</si>
  <si>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</si>
  <si>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</si>
  <si>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</si>
  <si>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</si>
  <si>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</si>
  <si>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</si>
  <si>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</si>
  <si>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</si>
  <si>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</si>
  <si>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</si>
  <si>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</si>
  <si>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</si>
  <si>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</si>
  <si>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</si>
  <si>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</si>
  <si>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</si>
  <si>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</si>
  <si>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</si>
  <si>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</si>
  <si>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</si>
  <si>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</si>
  <si>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</si>
  <si>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</si>
  <si>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</si>
  <si>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</si>
  <si>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</si>
  <si>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</si>
  <si>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</si>
  <si>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</si>
  <si>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</si>
  <si>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</si>
  <si>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</si>
  <si>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</si>
  <si>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</si>
  <si>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</si>
  <si>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t>The annual federal credit amount will auto-populate after credits have been calculated in</t>
  </si>
  <si>
    <t>the Basis and Credits sheet.</t>
  </si>
  <si>
    <t>4)</t>
  </si>
  <si>
    <t>Applicant Statement</t>
  </si>
  <si>
    <t xml:space="preserve">After carefully reading the applicant statement and certification, the applicant must provide </t>
  </si>
  <si>
    <t>a signed applicant certification.</t>
  </si>
  <si>
    <t>5)</t>
  </si>
  <si>
    <t>Local Jurisdiction</t>
  </si>
  <si>
    <t>Provide the name and contact information of the local jurisdiction's City Manager or equivalent.</t>
  </si>
  <si>
    <t>Section 2</t>
  </si>
  <si>
    <t>General and Summary Information</t>
  </si>
  <si>
    <t>Application Type</t>
  </si>
  <si>
    <t>Provide the requested information.</t>
  </si>
  <si>
    <t>Project Information</t>
  </si>
  <si>
    <t>C</t>
  </si>
  <si>
    <t>Credit Amounts Requested</t>
  </si>
  <si>
    <t>Select "Yes" or "No" to indicate whether requesting State Farmworker Tax Credits</t>
  </si>
  <si>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</si>
  <si>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</si>
  <si>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</si>
  <si>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</si>
  <si>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</si>
  <si>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</si>
  <si>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</si>
  <si>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</si>
  <si>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</si>
  <si>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</si>
  <si>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</si>
  <si>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</si>
  <si>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</si>
  <si>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</si>
  <si>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</si>
  <si>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</si>
  <si>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</si>
  <si>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</si>
  <si>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</si>
  <si>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</si>
  <si>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</si>
  <si>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</si>
  <si>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</si>
  <si>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</si>
  <si>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</si>
  <si>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</si>
  <si>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</si>
  <si>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</si>
  <si>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</si>
  <si>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</si>
  <si>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</si>
  <si>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</si>
  <si>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</si>
  <si>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</si>
  <si>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</si>
  <si>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</si>
  <si>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</si>
  <si>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</si>
  <si>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</si>
  <si>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</si>
  <si>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</si>
  <si>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</si>
  <si>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</si>
  <si>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</si>
  <si>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</si>
  <si>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</si>
  <si>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</si>
  <si>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</si>
  <si>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</si>
  <si>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</si>
  <si>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</si>
  <si>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</si>
  <si>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</si>
  <si>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</si>
  <si>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</si>
  <si>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</si>
  <si>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</si>
  <si>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</si>
  <si>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</si>
  <si>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</si>
  <si>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</si>
  <si>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</si>
  <si>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</si>
  <si>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</si>
  <si>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</si>
  <si>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</si>
  <si>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</si>
  <si>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</si>
  <si>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</si>
  <si>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</si>
  <si>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</si>
  <si>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</si>
  <si>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</si>
  <si>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</si>
  <si>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</si>
  <si>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</si>
  <si>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</si>
  <si>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</si>
  <si>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</si>
  <si>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</si>
  <si>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</si>
  <si>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</si>
  <si>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</si>
  <si>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</si>
  <si>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</si>
  <si>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</si>
  <si>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</si>
  <si>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</si>
  <si>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</si>
  <si>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</si>
  <si>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</si>
  <si>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</si>
  <si>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</si>
  <si>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</si>
  <si>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</si>
  <si>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</si>
  <si>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</si>
  <si>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</si>
  <si>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t xml:space="preserve">List annual income </t>
  </si>
  <si>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</si>
  <si>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</si>
  <si>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</si>
  <si>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</si>
  <si>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</si>
  <si>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</si>
  <si>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</si>
  <si>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</si>
  <si>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</si>
  <si>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</si>
  <si>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</si>
  <si>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</si>
  <si>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</si>
  <si>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</si>
  <si>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</si>
  <si>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</si>
  <si>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</si>
  <si>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</si>
  <si>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</si>
  <si>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</si>
  <si>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</si>
  <si>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</si>
  <si>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</si>
  <si>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</si>
  <si>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</si>
  <si>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</si>
  <si>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</si>
  <si>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</si>
  <si>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</si>
  <si>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t xml:space="preserve">List annual expenses </t>
  </si>
  <si>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</si>
  <si>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</si>
  <si>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</si>
  <si>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</si>
  <si>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</si>
  <si>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</si>
  <si>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</si>
  <si>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</si>
  <si>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</si>
  <si>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</si>
  <si>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</si>
  <si>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</si>
  <si>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</si>
  <si>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</si>
  <si>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</si>
  <si>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</si>
  <si>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</si>
  <si>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</si>
  <si>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</si>
  <si>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</si>
  <si>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</si>
  <si>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</si>
  <si>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</si>
  <si>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</si>
  <si>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</si>
  <si>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</si>
  <si>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</si>
  <si>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</si>
  <si>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</si>
  <si>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</si>
  <si>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</si>
  <si>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</si>
  <si>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</si>
  <si>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</si>
  <si>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</si>
  <si>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</si>
  <si>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</si>
  <si>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</si>
  <si>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</si>
  <si>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t>Use ONLY IF: Project consists of both: 
1) Building(s) located in a DDA/QCT area; AND
2) Building(s) located in a non-DDA/non-QCT area. 
If not applicable, skip this section and go to V. Basis and Credits.</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</si>
  <si>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</si>
  <si>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</si>
  <si>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</si>
  <si>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</si>
  <si>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</si>
  <si>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</si>
  <si>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</si>
  <si>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</si>
  <si>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</si>
  <si>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</si>
  <si>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</si>
  <si>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</si>
  <si>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</si>
  <si>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</si>
  <si>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</si>
  <si>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</si>
  <si>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</si>
  <si>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</si>
  <si>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</si>
  <si>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</si>
  <si>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</si>
  <si>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</si>
  <si>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</si>
  <si>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</si>
  <si>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</si>
  <si>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</si>
  <si>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</si>
  <si>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</si>
  <si>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</si>
  <si>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</si>
  <si>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</si>
  <si>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t xml:space="preserve">When compiling the flash drive, it is requested that applicants order folders according to the Application Checklist.  The Electronic Application MUST be an Excel file,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 </t>
  </si>
  <si>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</si>
  <si>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</si>
  <si>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</si>
  <si>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</si>
  <si>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</si>
  <si>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</si>
  <si>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</si>
  <si>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</si>
  <si>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</si>
  <si>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</si>
  <si>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</si>
  <si>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</si>
  <si>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</si>
  <si>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</si>
  <si>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</si>
  <si>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</si>
  <si>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</si>
  <si>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</si>
  <si>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</si>
  <si>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</si>
  <si>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</si>
  <si>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</si>
  <si>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</si>
  <si>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</si>
  <si>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</si>
  <si>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</si>
  <si>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</si>
  <si>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</si>
  <si>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</si>
  <si>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</si>
  <si>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</si>
  <si>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</si>
  <si>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</si>
  <si>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</si>
  <si>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(select one)</t>
  </si>
  <si>
    <t xml:space="preserve">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</si>
  <si>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</si>
  <si>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</si>
  <si>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</si>
  <si>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</si>
  <si>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</si>
  <si>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</si>
  <si>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</si>
  <si>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</si>
  <si>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</si>
  <si>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</si>
  <si>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</si>
  <si>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</si>
  <si>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</si>
  <si>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</si>
  <si>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</si>
  <si>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</si>
  <si>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</si>
  <si>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</si>
  <si>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</si>
  <si>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</si>
  <si>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</si>
  <si>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</si>
  <si>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</si>
  <si>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</si>
  <si>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</si>
  <si>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</si>
  <si>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</si>
  <si>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</si>
  <si>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</si>
  <si>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</si>
  <si>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</si>
  <si>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</si>
  <si>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</si>
  <si>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</si>
  <si>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</si>
  <si>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</si>
  <si>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</si>
  <si>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</si>
  <si>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</si>
  <si>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</si>
  <si>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</si>
  <si>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</si>
  <si>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</si>
  <si>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</si>
  <si>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</si>
  <si>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</si>
  <si>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</si>
  <si>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</si>
  <si>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</si>
  <si>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</si>
  <si>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</si>
  <si>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</si>
  <si>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</si>
  <si>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</si>
  <si>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</si>
  <si>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</si>
  <si>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</si>
  <si>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</si>
  <si>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</si>
  <si>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</si>
  <si>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</si>
  <si>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</si>
  <si>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</si>
  <si>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</si>
  <si>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</si>
  <si>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</si>
  <si>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</si>
  <si>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</si>
  <si>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</si>
  <si>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</si>
  <si>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</si>
  <si>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</si>
  <si>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</si>
  <si>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</si>
  <si>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</si>
  <si>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</si>
  <si>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</si>
  <si>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</si>
  <si>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</si>
  <si>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</si>
  <si>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</si>
  <si>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</si>
  <si>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</si>
  <si>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</si>
  <si>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</si>
  <si>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</si>
  <si>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</si>
  <si>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</si>
  <si>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</si>
  <si>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Rent adjuster delay period: the period of years the annual 2.5% underwriting increase to
project income is delayed in the 15 Year Pro Forma.  
Temporary rent adjuster: the percentage used in place of the annual 2.5% underwriting increase to project income in the 15 Year Pro Forma. 
Calculation:
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</si>
  <si>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</si>
  <si>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</si>
  <si>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</si>
  <si>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</si>
  <si>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</si>
  <si>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If the project has uncompleted Short Term Work required by an existing Capital Needs Agreement, OR the Transfer Event associated with the resyndication does not qualify for any exemption or waiver, the following apply:</t>
  </si>
  <si>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</si>
  <si>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</si>
  <si>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</si>
  <si>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</si>
  <si>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</si>
  <si>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</si>
  <si>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</si>
  <si>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</si>
  <si>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</si>
  <si>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</si>
  <si>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</si>
  <si>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</si>
  <si>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</si>
  <si>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</si>
  <si>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</si>
  <si>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</si>
  <si>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</si>
  <si>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</si>
  <si>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</si>
  <si>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</si>
  <si>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</si>
  <si>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</si>
  <si>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</si>
  <si>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</si>
  <si>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</si>
  <si>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</si>
  <si>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</si>
  <si>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</si>
  <si>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</si>
  <si>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</si>
  <si>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</si>
  <si>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</si>
  <si>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</si>
  <si>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</si>
  <si>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</si>
  <si>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</si>
  <si>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</si>
  <si>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</si>
  <si>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</si>
  <si>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</si>
  <si>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</si>
  <si>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</si>
  <si>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</si>
  <si>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</si>
  <si>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</si>
  <si>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</si>
  <si>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</si>
  <si>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</si>
  <si>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</si>
  <si>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</si>
  <si>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</si>
  <si>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</si>
  <si>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</si>
  <si>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</si>
  <si>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</si>
  <si>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</si>
  <si>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</si>
  <si>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</si>
  <si>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</si>
  <si>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</si>
  <si>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</si>
  <si>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</si>
  <si>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</si>
  <si>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</si>
  <si>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</si>
  <si>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</si>
  <si>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t xml:space="preserve">Self-syndication projects, refer to Reg. § 10327(c)(9). See Basis and Credits Worksheet for minimum federal tax credit factor and state tax credit factor amounts.
</t>
  </si>
  <si>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</si>
  <si>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</si>
  <si>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</si>
  <si>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</si>
  <si>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</si>
  <si>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</si>
  <si>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</si>
  <si>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</si>
  <si>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</si>
  <si>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</si>
  <si>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</si>
  <si>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</si>
  <si>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</si>
  <si>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t>Provide evidence of eligibility and include signed:</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</si>
  <si>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</si>
  <si>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</si>
  <si>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</si>
  <si>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</si>
  <si>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</si>
  <si>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</si>
  <si>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</si>
  <si>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</si>
  <si>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</si>
  <si>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t>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AND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</si>
  <si>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</si>
  <si>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</si>
  <si>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</si>
  <si>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</si>
  <si>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</si>
  <si>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</si>
  <si>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</si>
  <si>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</si>
  <si>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</si>
  <si>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</si>
  <si>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</si>
  <si>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</si>
  <si>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</si>
  <si>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</si>
  <si>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</si>
  <si>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</si>
  <si>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</si>
  <si>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</si>
  <si>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</si>
  <si>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</si>
  <si>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</si>
  <si>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</si>
  <si>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t>For private loans that are guaranteed by a public entity,
● see § 10325(c)(9) for eligibility,
●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</si>
  <si>
    <t xml:space="preserve">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
 </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</si>
  <si>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</si>
  <si>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</si>
  <si>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</si>
  <si>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</si>
  <si>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</si>
  <si>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</si>
  <si>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</si>
  <si>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</si>
  <si>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</si>
  <si>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</si>
  <si>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</si>
  <si>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</si>
  <si>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</si>
  <si>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t xml:space="preserve">PROPERTY MANAGEMENT COMPANY provide signed: </t>
  </si>
  <si>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</si>
  <si>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</si>
  <si>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</si>
  <si>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</si>
  <si>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</si>
  <si>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</si>
  <si>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</si>
  <si>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</si>
  <si>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</si>
  <si>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</si>
  <si>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</si>
  <si>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</si>
  <si>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</si>
  <si>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</si>
  <si>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</si>
  <si>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</si>
  <si>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t>Transit site amenities: 
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</si>
  <si>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</si>
  <si>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</si>
  <si>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</si>
  <si>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</si>
  <si>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 xml:space="preserve">Public school amenities: 
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</si>
  <si>
    <t>Grocery stores, medical clinics/hospitals, pharmacies: 
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</si>
  <si>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</si>
  <si>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</si>
  <si>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For facilities offering daily services designated for seniors OR 
for facilities operating to service a special needs or SRO development: 
Provide amenity details documenting how the services are appropriate to the development.</t>
  </si>
  <si>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</si>
  <si>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</si>
  <si>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</si>
  <si>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</si>
  <si>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</si>
  <si>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</si>
  <si>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</si>
  <si>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t xml:space="preserve">Provide evidence of eligibility per regulation guidelines and include all application items required in Attachment 24: Service Amenities along with completed:
</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</si>
  <si>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</si>
  <si>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</si>
  <si>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</si>
  <si>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</si>
  <si>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</si>
  <si>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</si>
  <si>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</si>
  <si>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</si>
  <si>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</si>
  <si>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</si>
  <si>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</si>
  <si>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</si>
  <si>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</si>
  <si>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</si>
  <si>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</si>
  <si>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</si>
  <si>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</si>
  <si>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</si>
  <si>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</si>
  <si>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</si>
  <si>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</si>
  <si>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</si>
  <si>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</si>
  <si>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t xml:space="preserve">Provide evidence of eligibility and include signed: </t>
  </si>
  <si>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</si>
  <si>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</si>
  <si>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</si>
  <si>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</si>
  <si>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</si>
  <si>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</si>
  <si>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</si>
  <si>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</si>
  <si>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</si>
  <si>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</si>
  <si>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</si>
  <si>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</si>
  <si>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</si>
  <si>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$75 million
</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</si>
  <si>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</si>
  <si>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</si>
  <si>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</si>
  <si>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</si>
  <si>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</si>
  <si>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</si>
  <si>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</si>
  <si>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</si>
  <si>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</si>
  <si>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</si>
  <si>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</si>
  <si>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as evidenced by the Capital Needs Assessment Report.  Include the itemized calculation of how the 60% requirement is met.</t>
  </si>
  <si>
    <t>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as evidenced by the Capital Needs Assessment Report.</t>
  </si>
  <si>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</si>
  <si>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</si>
  <si>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</si>
  <si>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</si>
  <si>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</si>
  <si>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</si>
  <si>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</si>
  <si>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</si>
  <si>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</si>
  <si>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</si>
  <si>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</si>
  <si>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</si>
  <si>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</si>
  <si>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</si>
  <si>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</si>
  <si>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</si>
  <si>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</si>
  <si>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</si>
  <si>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</si>
  <si>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</si>
  <si>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</si>
  <si>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</si>
  <si>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</si>
  <si>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</si>
  <si>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</si>
  <si>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</si>
  <si>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</si>
  <si>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</si>
  <si>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</si>
  <si>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</si>
  <si>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MIP Amount</t>
  </si>
  <si>
    <t>PROJECT NAME: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</si>
  <si>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</si>
  <si>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</si>
  <si>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</si>
  <si>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</si>
  <si>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</si>
  <si>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</si>
  <si>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</si>
  <si>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</si>
  <si>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</si>
  <si>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</si>
  <si>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</si>
  <si>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</si>
  <si>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</si>
  <si>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</si>
  <si>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</si>
  <si>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</si>
  <si>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</si>
  <si>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</si>
  <si>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</si>
  <si>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</si>
  <si>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</si>
  <si>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</si>
  <si>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</si>
  <si>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</si>
  <si>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</si>
  <si>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</si>
  <si>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</si>
  <si>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</si>
  <si>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</si>
  <si>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</si>
  <si>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</si>
  <si>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</si>
  <si>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</si>
  <si>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</si>
  <si>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</si>
  <si>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</si>
  <si>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</si>
  <si>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</si>
  <si>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</si>
  <si>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</si>
  <si>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</si>
  <si>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</si>
  <si>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</si>
  <si>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</si>
  <si>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</si>
  <si>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</si>
  <si>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</si>
  <si>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</si>
  <si>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</si>
  <si>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</si>
  <si>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</si>
  <si>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</si>
  <si>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</si>
  <si>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</si>
  <si>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</si>
  <si>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</si>
  <si>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</si>
  <si>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</si>
  <si>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</si>
  <si>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</si>
  <si>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</si>
  <si>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</si>
  <si>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</si>
  <si>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</si>
  <si>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</si>
  <si>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</si>
  <si>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</si>
  <si>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</si>
  <si>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</si>
  <si>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</si>
  <si>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</si>
  <si>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</si>
  <si>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</si>
  <si>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</si>
  <si>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</si>
  <si>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</si>
  <si>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</si>
  <si>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</si>
  <si>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</si>
  <si>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</si>
  <si>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</si>
  <si>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</si>
  <si>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</si>
  <si>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</si>
  <si>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</si>
  <si>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</si>
  <si>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</si>
  <si>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</si>
  <si>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</si>
  <si>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</si>
  <si>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</si>
  <si>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</si>
  <si>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</si>
  <si>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</si>
  <si>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</si>
  <si>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</si>
  <si>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</si>
  <si>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</si>
  <si>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</si>
  <si>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</si>
  <si>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</si>
  <si>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</si>
  <si>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</si>
  <si>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</si>
  <si>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</si>
  <si>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</si>
  <si>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</si>
  <si>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</si>
  <si>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</si>
  <si>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</si>
  <si>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</si>
  <si>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</si>
  <si>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</si>
  <si>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</si>
  <si>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</si>
  <si>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</si>
  <si>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</si>
  <si>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</si>
  <si>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</si>
  <si>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</si>
  <si>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</si>
  <si>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</si>
  <si>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</si>
  <si>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Los Angeles</t>
  </si>
  <si>
    <t>, California.</t>
  </si>
  <si>
    <t xml:space="preserve">By: </t>
  </si>
  <si>
    <t>(Original Signature)</t>
  </si>
  <si>
    <t>Danielle Curls Bennett</t>
  </si>
  <si>
    <t>(Typed or printed name)</t>
  </si>
  <si>
    <t xml:space="preserve">Application type: </t>
  </si>
  <si>
    <t>4%</t>
  </si>
  <si>
    <t xml:space="preserve">Please select your county: </t>
  </si>
  <si>
    <t>President, Alliance Property Group, Inc.</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</si>
  <si>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</si>
  <si>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</si>
  <si>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</si>
  <si>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</si>
  <si>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</si>
  <si>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</si>
  <si>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</si>
  <si>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2026 TBLs</t>
  </si>
  <si>
    <t>9% 2026 TBLs</t>
  </si>
  <si>
    <t>City Manager:</t>
  </si>
  <si>
    <t>Timothy Elliott</t>
  </si>
  <si>
    <t>Northern (Butte, El Dorado, Placer, Sacramento, San Joaquin, Shasta, Solano, Sutter, Yuba, and Yolo Counties)</t>
  </si>
  <si>
    <t>Title:</t>
  </si>
  <si>
    <t>City Manager</t>
  </si>
  <si>
    <t>N/A</t>
  </si>
  <si>
    <t xml:space="preserve">Mailing Address: </t>
  </si>
  <si>
    <t>1910 Sunset Blvd., Suite 300</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</si>
  <si>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</si>
  <si>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</si>
  <si>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</si>
  <si>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</si>
  <si>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</si>
  <si>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</si>
  <si>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</si>
  <si>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</si>
  <si>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</si>
  <si>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</si>
  <si>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</si>
  <si>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213-808-8596</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</si>
  <si>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</si>
  <si>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</si>
  <si>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</si>
  <si>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</si>
  <si>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</si>
  <si>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</si>
  <si>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</si>
  <si>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</si>
  <si>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</si>
  <si>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</si>
  <si>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</si>
  <si>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</si>
  <si>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</si>
  <si>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</si>
  <si>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</si>
  <si>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</si>
  <si>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timothy.elliott@lacity.org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</si>
  <si>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</si>
  <si>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</si>
  <si>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</si>
  <si>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</si>
  <si>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</si>
  <si>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</si>
  <si>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</si>
  <si>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</si>
  <si>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</si>
  <si>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</si>
  <si>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</si>
  <si>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</si>
  <si>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</si>
  <si>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</si>
  <si>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</si>
  <si>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</si>
  <si>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</si>
  <si>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</si>
  <si>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</si>
  <si>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</si>
  <si>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</si>
  <si>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</si>
  <si>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</si>
  <si>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</si>
  <si>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</si>
  <si>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</si>
  <si>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</si>
  <si>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</si>
  <si>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</si>
  <si>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</si>
  <si>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</si>
  <si>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</si>
  <si>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</si>
  <si>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</si>
  <si>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</si>
  <si>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</si>
  <si>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</si>
  <si>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</si>
  <si>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</si>
  <si>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</si>
  <si>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If yes, enter application number:</t>
  </si>
  <si>
    <t>CTCAC #</t>
  </si>
  <si>
    <t>CA -</t>
  </si>
  <si>
    <t>-</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</si>
  <si>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</si>
  <si>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</si>
  <si>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</si>
  <si>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</si>
  <si>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</si>
  <si>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</si>
  <si>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</si>
  <si>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</si>
  <si>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</si>
  <si>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</si>
  <si>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</si>
  <si>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</si>
  <si>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</si>
  <si>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</si>
  <si>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</si>
  <si>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t xml:space="preserve">If a Resyndication Project, complete the Resyndication Projects section below.  </t>
  </si>
  <si>
    <t>MODOC</t>
  </si>
  <si>
    <t>Modoc</t>
  </si>
  <si>
    <t>MONO</t>
  </si>
  <si>
    <t>Mono</t>
  </si>
  <si>
    <t>B.</t>
  </si>
  <si>
    <t>MONTEREY</t>
  </si>
  <si>
    <t>Monterey</t>
  </si>
  <si>
    <t>Project Name:</t>
  </si>
  <si>
    <t>*Federal Only:</t>
  </si>
  <si>
    <t>NAPA</t>
  </si>
  <si>
    <t>Napa</t>
  </si>
  <si>
    <t>Site Address:</t>
  </si>
  <si>
    <t>Federal and State:</t>
  </si>
  <si>
    <t>NEVADA</t>
  </si>
  <si>
    <t>Nevada</t>
  </si>
  <si>
    <t>If address is not established, enter detailed description (i.e. NW corner of 26th and Elm)</t>
  </si>
  <si>
    <t>ORANGE</t>
  </si>
  <si>
    <t>Orange</t>
  </si>
  <si>
    <t>PLACER</t>
  </si>
  <si>
    <t>Placer</t>
  </si>
  <si>
    <t>PLUMAS</t>
  </si>
  <si>
    <t>Plumas</t>
  </si>
  <si>
    <t>City:</t>
  </si>
  <si>
    <t>RIVERSIDE</t>
  </si>
  <si>
    <t>Riverside</t>
  </si>
  <si>
    <t>Zip Code:</t>
  </si>
  <si>
    <t>Census Tract:</t>
  </si>
  <si>
    <t>Large Family</t>
  </si>
  <si>
    <t>SACRAMENTO</t>
  </si>
  <si>
    <t>Sacramento</t>
  </si>
  <si>
    <t>Assessor's Parcel Number(s):</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</si>
  <si>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</si>
  <si>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</si>
  <si>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</si>
  <si>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</si>
  <si>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</si>
  <si>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</si>
  <si>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</si>
  <si>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</si>
  <si>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</si>
  <si>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</si>
  <si>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</si>
  <si>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</si>
  <si>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</si>
  <si>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</si>
  <si>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</si>
  <si>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</si>
  <si>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</si>
  <si>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</si>
  <si>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</si>
  <si>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</si>
  <si>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</si>
  <si>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</si>
  <si>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</si>
  <si>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</si>
  <si>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</si>
  <si>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</si>
  <si>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</si>
  <si>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</si>
  <si>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</si>
  <si>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</si>
  <si>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</si>
  <si>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</si>
  <si>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t>Project is Rural¹</t>
  </si>
  <si>
    <t>SANTA CLARA</t>
  </si>
  <si>
    <t>Santa Clara</t>
  </si>
  <si>
    <t xml:space="preserve">Project is the 4% component of a Hybrid project¹ 
     </t>
  </si>
  <si>
    <t>http://findyourrep.legislature.ca.gov/</t>
  </si>
  <si>
    <t>Balance of Los Angeles County</t>
  </si>
  <si>
    <t>SANTA CRUZ</t>
  </si>
  <si>
    <t>Santa Cruz</t>
  </si>
  <si>
    <t>¹defined by CTCAC Regulations Section 10302</t>
  </si>
  <si>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</si>
  <si>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</si>
  <si>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</si>
  <si>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</si>
  <si>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</si>
  <si>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</si>
  <si>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</si>
  <si>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</si>
  <si>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</si>
  <si>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</si>
  <si>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</si>
  <si>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</si>
  <si>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</si>
  <si>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</si>
  <si>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</si>
  <si>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</si>
  <si>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</si>
  <si>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</si>
  <si>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</si>
  <si>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</si>
  <si>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</si>
  <si>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</si>
  <si>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</si>
  <si>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</si>
  <si>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</si>
  <si>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t>Federal Minimum Set-Aside Election (IRC Section 42(g)(1))</t>
  </si>
  <si>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</si>
  <si>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</si>
  <si>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</si>
  <si>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</si>
  <si>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</si>
  <si>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</si>
  <si>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</si>
  <si>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</si>
  <si>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</si>
  <si>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</si>
  <si>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</si>
  <si>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</si>
  <si>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</si>
  <si>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</si>
  <si>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</si>
  <si>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</si>
  <si>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</si>
  <si>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</si>
  <si>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</si>
  <si>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</si>
  <si>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</si>
  <si>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</si>
  <si>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</si>
  <si>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</si>
  <si>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</si>
  <si>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</si>
  <si>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</si>
  <si>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</si>
  <si>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</si>
  <si>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</si>
  <si>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</si>
  <si>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</si>
  <si>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</si>
  <si>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</si>
  <si>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</si>
  <si>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</si>
  <si>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</si>
  <si>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</si>
  <si>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t>CTCAC Geographic Area (Reg. Section 10315(i))</t>
  </si>
  <si>
    <t>CDLAC Region (§ 5022)</t>
  </si>
  <si>
    <t>Local Government</t>
  </si>
  <si>
    <t>Please select the project's CTCAC geographic area and CDLAC geographic region:</t>
  </si>
  <si>
    <t>Nonprofit Organization</t>
  </si>
  <si>
    <t>Other</t>
  </si>
  <si>
    <t xml:space="preserve">G. </t>
  </si>
  <si>
    <t>CDLAC Pools and Set-Asides (§ 5101)</t>
  </si>
  <si>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</si>
  <si>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</si>
  <si>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</si>
  <si>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</si>
  <si>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</si>
  <si>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</si>
  <si>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</si>
  <si>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</si>
  <si>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</si>
  <si>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</si>
  <si>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</si>
  <si>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1730 E. Holly Avenue, Suite 327</t>
  </si>
  <si>
    <t>State:</t>
  </si>
  <si>
    <t>CA</t>
  </si>
  <si>
    <t>Contact Person:</t>
  </si>
  <si>
    <t>Phillip Curls</t>
  </si>
  <si>
    <t>Phone:</t>
  </si>
  <si>
    <t>Ext.:</t>
  </si>
  <si>
    <t>Fax:</t>
  </si>
  <si>
    <t>both nonprofits</t>
  </si>
  <si>
    <t xml:space="preserve">Email: </t>
  </si>
  <si>
    <t>pcurls@apg-dev.com</t>
  </si>
  <si>
    <t>Legal Status of Applicant:</t>
  </si>
  <si>
    <t>Parent Company:</t>
  </si>
  <si>
    <t>APG Holdings 2, LLC</t>
  </si>
  <si>
    <t>If Other, Specify:</t>
  </si>
  <si>
    <t>both for-profit</t>
  </si>
  <si>
    <t>General Partner(s) Information (post-closing GPs):</t>
  </si>
  <si>
    <t>D(1)</t>
  </si>
  <si>
    <t>General Partner Name:</t>
  </si>
  <si>
    <t>Community Revitalization &amp; Development Corporation</t>
  </si>
  <si>
    <t>Managing GP</t>
  </si>
  <si>
    <t>1918 West Street</t>
  </si>
  <si>
    <t>OWNERSHIP</t>
  </si>
  <si>
    <t>Nonprofit</t>
  </si>
  <si>
    <t>Redding</t>
  </si>
  <si>
    <t>INTEREST (%):</t>
  </si>
  <si>
    <t>currently exists</t>
  </si>
  <si>
    <t>David Rutledge</t>
  </si>
  <si>
    <t>to be formed</t>
  </si>
  <si>
    <t>For Profit</t>
  </si>
  <si>
    <t>david@crdc-housing.org</t>
  </si>
  <si>
    <t>Nonprofit/For Profit:</t>
  </si>
  <si>
    <t>D(2)</t>
  </si>
  <si>
    <t>General Partner Name:*</t>
  </si>
  <si>
    <t>Administrative GP</t>
  </si>
  <si>
    <t>El Segundo</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</si>
  <si>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</si>
  <si>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</si>
  <si>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</si>
  <si>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</si>
  <si>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</si>
  <si>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</si>
  <si>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</si>
  <si>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</si>
  <si>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</si>
  <si>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Alliance Property Group Inc.</t>
  </si>
  <si>
    <t>Participatory Role:</t>
  </si>
  <si>
    <t>Developer</t>
  </si>
  <si>
    <t>(e.g., General Partner, Consultant, etc.)</t>
  </si>
  <si>
    <t>II. APPLICATION - SECTION 4: DEVELOPMENT TEAM INFORMATION</t>
  </si>
  <si>
    <t>Indicate and List All Development Team Members</t>
  </si>
  <si>
    <t>Developer:</t>
  </si>
  <si>
    <t>Alliance Property Group, Inc.</t>
  </si>
  <si>
    <t>Architect:</t>
  </si>
  <si>
    <t>Address:</t>
  </si>
  <si>
    <t>City, State, Zip</t>
  </si>
  <si>
    <t>El Segundo, CA 90245</t>
  </si>
  <si>
    <t>City, State, Zip:</t>
  </si>
  <si>
    <t>Email:</t>
  </si>
  <si>
    <t>Attorney:</t>
  </si>
  <si>
    <t>Sabelhaus &amp; Strain PC</t>
  </si>
  <si>
    <t>General Contractor:</t>
  </si>
  <si>
    <t>MFIB CA dba ICON National</t>
  </si>
  <si>
    <t>1724 10th Street</t>
  </si>
  <si>
    <t>15721 Greenway Hayden Loop</t>
  </si>
  <si>
    <t>Sacramento, CA 95811</t>
  </si>
  <si>
    <t>Scottsdale, AZ 85260</t>
  </si>
  <si>
    <t>Steve Strain</t>
  </si>
  <si>
    <t>David Soggie</t>
  </si>
  <si>
    <t>sstrain@sabelhauslaw.com</t>
  </si>
  <si>
    <t>dsoggie@iconnational.com</t>
  </si>
  <si>
    <t>Tax Professional:</t>
  </si>
  <si>
    <t>Energy Consultant:</t>
  </si>
  <si>
    <t>Partner Energy</t>
  </si>
  <si>
    <t>2154 Torrance Blvd.</t>
  </si>
  <si>
    <t>Torrance, CA 90501</t>
  </si>
  <si>
    <t>Molly Garcia</t>
  </si>
  <si>
    <t>mgarcia@ptenergy.com</t>
  </si>
  <si>
    <t>CPA:</t>
  </si>
  <si>
    <t>Novogradac &amp; Company</t>
  </si>
  <si>
    <t>Investor:</t>
  </si>
  <si>
    <t>Enterprise Housing Credit Investment</t>
  </si>
  <si>
    <t>2033 N. Main Street</t>
  </si>
  <si>
    <t>700 S. Flower Street, Suite 1140</t>
  </si>
  <si>
    <t>Walnut Creek, CA 94596</t>
  </si>
  <si>
    <t>Los Angeles, CA 90017</t>
  </si>
  <si>
    <t>Jon Adkins</t>
  </si>
  <si>
    <t>Reagan Maechling</t>
  </si>
  <si>
    <t>jon.adkins@novoco.com</t>
  </si>
  <si>
    <t>rmaechling@enterprisecommunity.com</t>
  </si>
  <si>
    <t>Consultant:</t>
  </si>
  <si>
    <t>Market Analyst:</t>
  </si>
  <si>
    <t>1160 Battery Street</t>
  </si>
  <si>
    <t>San Francisco, CA 94111</t>
  </si>
  <si>
    <t>Lindsey Hannon</t>
  </si>
  <si>
    <t>lindsey.hannon@novoco.com</t>
  </si>
  <si>
    <t>Appraiser:</t>
  </si>
  <si>
    <t>CNA Consultant:</t>
  </si>
  <si>
    <t>Bond Issuer:</t>
  </si>
  <si>
    <t>Prop. Mgmt. Co.:</t>
  </si>
  <si>
    <t>Los Angeles, CA 90026</t>
  </si>
  <si>
    <t>Jesse Cruz</t>
  </si>
  <si>
    <t>jesse1.cruz@lacity.org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</si>
  <si>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</si>
  <si>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</si>
  <si>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</si>
  <si>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</si>
  <si>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</si>
  <si>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</si>
  <si>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</si>
  <si>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</si>
  <si>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</si>
  <si>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</si>
  <si>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</si>
  <si>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</si>
  <si>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</si>
  <si>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</si>
  <si>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</si>
  <si>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</si>
  <si>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</si>
  <si>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</si>
  <si>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</si>
  <si>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</si>
  <si>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</si>
  <si>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</si>
  <si>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</si>
  <si>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Multifamily apartment complex</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</si>
  <si>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</si>
  <si>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</si>
  <si>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</si>
  <si>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</si>
  <si>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</si>
  <si>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</si>
  <si>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</si>
  <si>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</si>
  <si>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</si>
  <si>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</si>
  <si>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</si>
  <si>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</si>
  <si>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</si>
  <si>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</si>
  <si>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</si>
  <si>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</si>
  <si>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</si>
  <si>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n/a</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</si>
  <si>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</si>
  <si>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</si>
  <si>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</si>
  <si>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</si>
  <si>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</si>
  <si>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</si>
  <si>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</si>
  <si>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</si>
  <si>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</si>
  <si>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</si>
  <si>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</si>
  <si>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</si>
  <si>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</si>
  <si>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</si>
  <si>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</si>
  <si>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</si>
  <si>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</si>
  <si>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</si>
  <si>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</si>
  <si>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</si>
  <si>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</si>
  <si>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</si>
  <si>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</si>
  <si>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</si>
  <si>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</si>
  <si>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</si>
  <si>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</si>
  <si>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</si>
  <si>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</si>
  <si>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</si>
  <si>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</si>
  <si>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</si>
  <si>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</si>
  <si>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</si>
  <si>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</si>
  <si>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</si>
  <si>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</si>
  <si>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</si>
  <si>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</si>
  <si>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t>If Commercial/ Retail Space, explain: (include use, size, location, and purpose)</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</si>
  <si>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</si>
  <si>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</si>
  <si>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</si>
  <si>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</si>
  <si>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</si>
  <si>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</si>
  <si>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t>Total number of non-Tax Credit Units (i.e. market rate units) (excluding managers' units):</t>
  </si>
  <si>
    <t>Total number of units (excluding managers’ units):</t>
  </si>
  <si>
    <t>Total number of Low Income Units:</t>
  </si>
  <si>
    <t>Ratio of Low Income Units to total units (excluding managers’ units):</t>
  </si>
  <si>
    <t>Total square footage of all residential units (excluding managers’ units):</t>
  </si>
  <si>
    <t>Total square footage of Low Income Units:</t>
  </si>
  <si>
    <t>Ratio of low-income residential to total residential square footage (excluding managers’ units):</t>
  </si>
  <si>
    <t>Applicable fraction, smaller of unit or square footage ratio (used on "Basis &amp; Credits"):</t>
  </si>
  <si>
    <t xml:space="preserve">Total interior amenity space square footage (CTCAC Regulation Section 10325(g)(1)): </t>
  </si>
  <si>
    <t>Total commercial/ retail space square footage:</t>
  </si>
  <si>
    <t>Total common area square footage (including managers’ units):</t>
  </si>
  <si>
    <t>Total parking structure square footage (excludes car-ports and "tuck under" parking):</t>
  </si>
  <si>
    <t>*Total square footage of all project structures (excluding commercial/retail):</t>
  </si>
  <si>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</si>
  <si>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</si>
  <si>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</si>
  <si>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</si>
  <si>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</si>
  <si>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</si>
  <si>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</si>
  <si>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</si>
  <si>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</si>
  <si>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</si>
  <si>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</si>
  <si>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</si>
  <si>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</si>
  <si>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</si>
  <si>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</si>
  <si>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</si>
  <si>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</si>
  <si>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</si>
  <si>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</si>
  <si>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</si>
  <si>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</si>
  <si>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</si>
  <si>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</si>
  <si>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Proposed Zoning and Maximum Density</t>
  </si>
  <si>
    <t>Occupancy restrictions that run with the land due to CUP’s or density bonuses?</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</si>
  <si>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</si>
  <si>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</si>
  <si>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</si>
  <si>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</si>
  <si>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</si>
  <si>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</si>
  <si>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</si>
  <si>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</si>
  <si>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</si>
  <si>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</si>
  <si>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</si>
  <si>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</si>
  <si>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</si>
  <si>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</si>
  <si>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</si>
  <si>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</si>
  <si>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</si>
  <si>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</si>
  <si>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</si>
  <si>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</si>
  <si>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</si>
  <si>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</si>
  <si>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</si>
  <si>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</si>
  <si>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</si>
  <si>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</si>
  <si>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</si>
  <si>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</si>
  <si>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</si>
  <si>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</si>
  <si>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</si>
  <si>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</si>
  <si>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</si>
  <si>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</si>
  <si>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</si>
  <si>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</si>
  <si>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</si>
  <si>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</si>
  <si>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</si>
  <si>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</si>
  <si>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</si>
  <si>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</si>
  <si>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</si>
  <si>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</si>
  <si>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</si>
  <si>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</si>
  <si>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</si>
  <si>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</si>
  <si>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</si>
  <si>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</si>
  <si>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</si>
  <si>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</si>
  <si>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</si>
  <si>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</si>
  <si>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</si>
  <si>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</si>
  <si>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</si>
  <si>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</si>
  <si>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</si>
  <si>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</si>
  <si>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</si>
  <si>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</si>
  <si>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</si>
  <si>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t>List Below All Projected Sources Required To Complete Construction. Do not leave blank rows in between sources.</t>
  </si>
  <si>
    <t>Name of Lender</t>
  </si>
  <si>
    <t>Type of Source</t>
  </si>
  <si>
    <t>Term 
(months)</t>
  </si>
  <si>
    <t>Amort. Term 
(months)</t>
  </si>
  <si>
    <t>Interest Rate</t>
  </si>
  <si>
    <t>Fixed/ Variable</t>
  </si>
  <si>
    <t>Lien Position</t>
  </si>
  <si>
    <t>Required Payment</t>
  </si>
  <si>
    <t>Amount of Funds</t>
  </si>
  <si>
    <t>Berkadia - Tax Exempt Loan</t>
  </si>
  <si>
    <t>Enterprise Housing Credit Inv.</t>
  </si>
  <si>
    <t>6)</t>
  </si>
  <si>
    <t>7)</t>
  </si>
  <si>
    <t>8)</t>
  </si>
  <si>
    <t>9)</t>
  </si>
  <si>
    <t>10)</t>
  </si>
  <si>
    <t>11)</t>
  </si>
  <si>
    <t>12)</t>
  </si>
  <si>
    <t>Total Funds For Construction:</t>
  </si>
  <si>
    <t>Lender/Source:</t>
  </si>
  <si>
    <t>5960 Berkshire Lane, Suite 1000</t>
  </si>
  <si>
    <t>Dallas, TX  75225</t>
  </si>
  <si>
    <t>Contact Name:</t>
  </si>
  <si>
    <t>Timothy Leonhard</t>
  </si>
  <si>
    <t>(214) 360-3849</t>
  </si>
  <si>
    <t>Type of Financing:</t>
  </si>
  <si>
    <t>Variable Rate Index (if applicable):</t>
  </si>
  <si>
    <t>Is the Lender/Source Committed?</t>
  </si>
  <si>
    <t>Los Angeles, CA  90017</t>
  </si>
  <si>
    <t>(213) 833-7988</t>
  </si>
  <si>
    <t>Tax Credit Equity</t>
  </si>
  <si>
    <t>III. PROJECT FINANCING - SECTION 2:  PERMANENT FINANCING</t>
  </si>
  <si>
    <t>Term (months)</t>
  </si>
  <si>
    <t>Amort. Term (months)</t>
  </si>
  <si>
    <t>Pay-ment Type</t>
  </si>
  <si>
    <t>Annual Debt Service - Residential</t>
  </si>
  <si>
    <t>Annual Debt Service - Commercial</t>
  </si>
  <si>
    <t>Permanent Loan</t>
  </si>
  <si>
    <t>Deferred Developer Fee</t>
  </si>
  <si>
    <t>Deferred</t>
  </si>
  <si>
    <t>Residual</t>
  </si>
  <si>
    <t>Required</t>
  </si>
  <si>
    <t>Total Permanent Financing:</t>
  </si>
  <si>
    <t>Total Tax Credit Equity:</t>
  </si>
  <si>
    <t>Total Sources of Project Funds:</t>
  </si>
  <si>
    <t>Tax Exempt Permanent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</si>
  <si>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</si>
  <si>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</si>
  <si>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</si>
  <si>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</si>
  <si>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</si>
  <si>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</si>
  <si>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</si>
  <si>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</si>
  <si>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</si>
  <si>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</si>
  <si>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</si>
  <si>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</si>
  <si>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</si>
  <si>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</si>
  <si>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</si>
  <si>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</si>
  <si>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t>(c)
Proposed Monthly Rent (Less Utilities)</t>
  </si>
  <si>
    <t>(d)
Monthly Utility Allowance</t>
  </si>
  <si>
    <t>(e)
Monthly Rent Plus Utilities
(c + d)</t>
  </si>
  <si>
    <t>(f)
% of Area Median Income</t>
  </si>
  <si>
    <t>(g)          % of Actual AMI</t>
  </si>
  <si>
    <t>(h)
Special
Needs
Population</t>
  </si>
  <si>
    <t>AVERAGE AFFORDABILITY BY AMI TARGETING</t>
  </si>
  <si>
    <t>AVERAGE AFFORDABILITY BY AMI ACTUAL RENTS</t>
  </si>
  <si>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</si>
  <si>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</si>
  <si>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</si>
  <si>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</si>
  <si>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</si>
  <si>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</si>
  <si>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</si>
  <si>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</si>
  <si>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</si>
  <si>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</si>
  <si>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</si>
  <si>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</si>
  <si>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</si>
  <si>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</si>
  <si>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</si>
  <si>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</si>
  <si>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</si>
  <si>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</si>
  <si>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</si>
  <si>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</si>
  <si>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</si>
  <si>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</si>
  <si>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</si>
  <si>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</si>
  <si>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</si>
  <si>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</si>
  <si>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</si>
  <si>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</si>
  <si>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</si>
  <si>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</si>
  <si>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</si>
  <si>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</si>
  <si>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</si>
  <si>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</si>
  <si>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</si>
  <si>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</si>
  <si>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</si>
  <si>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</si>
  <si>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</si>
  <si>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</si>
  <si>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</si>
  <si>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t>Length of Contract (years):</t>
  </si>
  <si>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</si>
  <si>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</si>
  <si>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</si>
  <si>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</si>
  <si>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</si>
  <si>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</si>
  <si>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</si>
  <si>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</si>
  <si>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</si>
  <si>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</si>
  <si>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</si>
  <si>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</si>
  <si>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</si>
  <si>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</si>
  <si>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</si>
  <si>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</si>
  <si>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</si>
  <si>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</si>
  <si>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</si>
  <si>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</si>
  <si>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</si>
  <si>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</si>
  <si>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</si>
  <si>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</si>
  <si>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</si>
  <si>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</si>
  <si>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</si>
  <si>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</si>
  <si>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</si>
  <si>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</si>
  <si>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</si>
  <si>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</si>
  <si>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</si>
  <si>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</si>
  <si>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</si>
  <si>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</si>
  <si>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</si>
  <si>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</si>
  <si>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</si>
  <si>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</si>
  <si>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</si>
  <si>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</si>
  <si>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</si>
  <si>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</si>
  <si>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Total Payroll / Payroll Taxes:</t>
  </si>
  <si>
    <t>Total Insurance:</t>
  </si>
  <si>
    <t>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</si>
  <si>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</si>
  <si>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</si>
  <si>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</si>
  <si>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</si>
  <si>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</si>
  <si>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</si>
  <si>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</si>
  <si>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</si>
  <si>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</si>
  <si>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</si>
  <si>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</si>
  <si>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</si>
  <si>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</si>
  <si>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</si>
  <si>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</si>
  <si>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</si>
  <si>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</si>
  <si>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</si>
  <si>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</si>
  <si>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</si>
  <si>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</si>
  <si>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</si>
  <si>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</si>
  <si>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</si>
  <si>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</si>
  <si>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</si>
  <si>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</si>
  <si>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</si>
  <si>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</si>
  <si>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</si>
  <si>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</si>
  <si>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</si>
  <si>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</si>
  <si>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</si>
  <si>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</si>
  <si>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t>If lender is not funding source, list source (HOME, CDBG, etc.) NOT lender.</t>
  </si>
  <si>
    <t>Amount</t>
  </si>
  <si>
    <t>Tax-Exempt Financing</t>
  </si>
  <si>
    <t>Sum of Tax-Exempt Construction Financing</t>
  </si>
  <si>
    <t>Taxable Bond Financing</t>
  </si>
  <si>
    <t>HOME Investment Partnership Act (HOME)</t>
  </si>
  <si>
    <t>Community Development Block Grant (CDBG)</t>
  </si>
  <si>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</si>
  <si>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</si>
  <si>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</si>
  <si>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</si>
  <si>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</si>
  <si>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</si>
  <si>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</si>
  <si>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</si>
  <si>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</si>
  <si>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</si>
  <si>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</si>
  <si>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</si>
  <si>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</si>
  <si>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</si>
  <si>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</si>
  <si>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</si>
  <si>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</si>
  <si>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</si>
  <si>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</si>
  <si>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</si>
  <si>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</si>
  <si>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</si>
  <si>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</si>
  <si>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</si>
  <si>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</si>
  <si>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</si>
  <si>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</si>
  <si>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</si>
  <si>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</si>
  <si>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</si>
  <si>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Percentage:</t>
  </si>
  <si>
    <t>Units Subsidized:</t>
  </si>
  <si>
    <t>Amount Per Year:</t>
  </si>
  <si>
    <t>Total Subsidy:</t>
  </si>
  <si>
    <t>Pre-Existing Subsidies (Acq./Rehab. or Rehab-Only projects)</t>
  </si>
  <si>
    <t>Indicate The Subsidy Amount For Any Of The Following Currently Utilized By The Project.</t>
  </si>
  <si>
    <t>Sec 221(d)(3) BMIR:</t>
  </si>
  <si>
    <t>RHS 514:</t>
  </si>
  <si>
    <t>HUD Sec 236:</t>
  </si>
  <si>
    <t>RHS 515:</t>
  </si>
  <si>
    <t>If Section 236, IRP?</t>
  </si>
  <si>
    <t>RHS 521 (rent subsidy):</t>
  </si>
  <si>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</si>
  <si>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</si>
  <si>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</si>
  <si>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</si>
  <si>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</si>
  <si>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</si>
  <si>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</si>
  <si>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</si>
  <si>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</si>
  <si>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</si>
  <si>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</si>
  <si>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</si>
  <si>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</si>
  <si>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</si>
  <si>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</si>
  <si>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</si>
  <si>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</si>
  <si>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</si>
  <si>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</si>
  <si>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</si>
  <si>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</si>
  <si>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</si>
  <si>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</si>
  <si>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</si>
  <si>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t>For new construction projects required to provide parking beneath residential units (not "tuck under" parking) or through construction of an on-site parking structure of two or more levels.</t>
  </si>
  <si>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</si>
  <si>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</si>
  <si>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</si>
  <si>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</si>
  <si>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</si>
  <si>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</si>
  <si>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</si>
  <si>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</si>
  <si>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</si>
  <si>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</si>
  <si>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</si>
  <si>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</si>
  <si>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</si>
  <si>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</si>
  <si>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</si>
  <si>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</si>
  <si>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</si>
  <si>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</si>
  <si>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t>Local development impact fees required to be paid to local government entities.  Certification from local entities assessing fees also required.  
WAIVED IMPACT FEES ARE INELIGIBLE</t>
  </si>
  <si>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</si>
  <si>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</si>
  <si>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</si>
  <si>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</si>
  <si>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</si>
  <si>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</si>
  <si>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</si>
  <si>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</si>
  <si>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</si>
  <si>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</si>
  <si>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</si>
  <si>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</si>
  <si>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</si>
  <si>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</si>
  <si>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</si>
  <si>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</si>
  <si>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</si>
  <si>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</si>
  <si>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</si>
  <si>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</si>
  <si>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</si>
  <si>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</si>
  <si>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</si>
  <si>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</si>
  <si>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</si>
  <si>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</si>
  <si>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</si>
  <si>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</si>
  <si>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</si>
  <si>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</si>
  <si>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</si>
  <si>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</si>
  <si>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</si>
  <si>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</si>
  <si>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</si>
  <si>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</si>
  <si>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</si>
  <si>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</si>
  <si>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</si>
  <si>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</si>
  <si>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</si>
  <si>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</si>
  <si>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</si>
  <si>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</si>
  <si>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</si>
  <si>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</si>
  <si>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</si>
  <si>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</si>
  <si>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</si>
  <si>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</si>
  <si>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</si>
  <si>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</si>
  <si>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</si>
  <si>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</si>
  <si>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</si>
  <si>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</si>
  <si>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</si>
  <si>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</si>
  <si>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</si>
  <si>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</si>
  <si>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</si>
  <si>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</si>
  <si>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</si>
  <si>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</si>
  <si>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</si>
  <si>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</si>
  <si>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</si>
  <si>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</si>
  <si>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</si>
  <si>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</si>
  <si>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</si>
  <si>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</si>
  <si>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</si>
  <si>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</si>
  <si>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</si>
  <si>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</si>
  <si>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</si>
  <si>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</si>
  <si>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</si>
  <si>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</si>
  <si>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</si>
  <si>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</si>
  <si>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</si>
  <si>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</si>
  <si>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</si>
  <si>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</si>
  <si>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</si>
  <si>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</si>
  <si>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</si>
  <si>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</si>
  <si>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</si>
  <si>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</si>
  <si>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</si>
  <si>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</si>
  <si>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</si>
  <si>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</si>
  <si>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</si>
  <si>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</si>
  <si>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</si>
  <si>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</si>
  <si>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</si>
  <si>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</si>
  <si>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</si>
  <si>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Third-Party Reports</t>
  </si>
  <si>
    <t>Total Construction Interest &amp; Fees</t>
  </si>
  <si>
    <t>Loan Origination Fee</t>
  </si>
  <si>
    <t>Other: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</si>
  <si>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</si>
  <si>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</si>
  <si>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</si>
  <si>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</si>
  <si>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</si>
  <si>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</si>
  <si>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</si>
  <si>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</si>
  <si>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</si>
  <si>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</si>
  <si>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</si>
  <si>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</si>
  <si>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</si>
  <si>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LP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</si>
  <si>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</si>
  <si>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</si>
  <si>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</si>
  <si>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</si>
  <si>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</si>
  <si>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</si>
  <si>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</si>
  <si>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</si>
  <si>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</si>
  <si>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</si>
  <si>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</si>
  <si>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</si>
  <si>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</si>
  <si>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</si>
  <si>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</si>
  <si>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</si>
  <si>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Administrative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</si>
  <si>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</si>
  <si>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</si>
  <si>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</si>
  <si>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</si>
  <si>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</si>
  <si>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</si>
  <si>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</si>
  <si>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</si>
  <si>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</si>
  <si>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</si>
  <si>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</si>
  <si>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</si>
  <si>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</si>
  <si>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</si>
  <si>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</si>
  <si>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</si>
  <si>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</si>
  <si>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</si>
  <si>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</si>
  <si>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</si>
  <si>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</si>
  <si>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</si>
  <si>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</si>
  <si>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</si>
  <si>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</si>
  <si>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</si>
  <si>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</si>
  <si>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</si>
  <si>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</si>
  <si>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</si>
  <si>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</si>
  <si>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</si>
  <si>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</si>
  <si>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</si>
  <si>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</si>
  <si>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</si>
  <si>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</si>
  <si>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</si>
  <si>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</si>
  <si>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</si>
  <si>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</si>
  <si>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</si>
  <si>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</si>
  <si>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</si>
  <si>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</si>
  <si>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</si>
  <si>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</si>
  <si>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</si>
  <si>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</si>
  <si>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</si>
  <si>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</si>
  <si>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</si>
  <si>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</si>
  <si>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</si>
  <si>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</si>
  <si>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</si>
  <si>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</si>
  <si>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</si>
  <si>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</si>
  <si>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</si>
  <si>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</si>
  <si>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</si>
  <si>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</si>
  <si>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</si>
  <si>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</si>
  <si>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</si>
  <si>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</si>
  <si>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</si>
  <si>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</si>
  <si>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</si>
  <si>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</si>
  <si>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</si>
  <si>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</si>
  <si>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</si>
  <si>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</si>
  <si>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</si>
  <si>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</si>
  <si>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</si>
  <si>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</si>
  <si>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</si>
  <si>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</si>
  <si>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</si>
  <si>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</si>
  <si>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</si>
  <si>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</si>
  <si>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</si>
  <si>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</si>
  <si>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</si>
  <si>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</si>
  <si>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</si>
  <si>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</si>
  <si>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</si>
  <si>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</si>
  <si>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</si>
  <si>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</si>
  <si>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</si>
  <si>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</si>
  <si>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</si>
  <si>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</si>
  <si>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</si>
  <si>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</si>
  <si>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</si>
  <si>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</si>
  <si>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</si>
  <si>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</si>
  <si>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</si>
  <si>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</si>
  <si>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</si>
  <si>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</si>
  <si>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</si>
  <si>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</si>
  <si>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</si>
  <si>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</si>
  <si>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</si>
  <si>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</si>
  <si>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</si>
  <si>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</si>
  <si>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</si>
  <si>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</si>
  <si>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</si>
  <si>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</si>
  <si>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</si>
  <si>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</si>
  <si>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</si>
  <si>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</si>
  <si>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</si>
  <si>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</si>
  <si>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</si>
  <si>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</si>
  <si>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</si>
  <si>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</si>
  <si>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</si>
  <si>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</si>
  <si>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</si>
  <si>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</si>
  <si>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</si>
  <si>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</si>
  <si>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</si>
  <si>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</si>
  <si>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</si>
  <si>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</si>
  <si>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</si>
  <si>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</si>
  <si>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</si>
  <si>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</si>
  <si>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</si>
  <si>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</si>
  <si>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</si>
  <si>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</si>
  <si>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</si>
  <si>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</si>
  <si>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</si>
  <si>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</si>
  <si>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</si>
  <si>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</si>
  <si>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</si>
  <si>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</si>
  <si>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</si>
  <si>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</si>
  <si>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</si>
  <si>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</si>
  <si>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</si>
  <si>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</si>
  <si>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</si>
  <si>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</si>
  <si>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</si>
  <si>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</si>
  <si>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</si>
  <si>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</si>
  <si>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</si>
  <si>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</si>
  <si>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t>Example: Contract of Services between General Contractor Company &amp; ABC Dev. Corp. dated 1/1/2022</t>
  </si>
  <si>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</si>
  <si>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</si>
  <si>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</si>
  <si>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</si>
  <si>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</si>
  <si>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</si>
  <si>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</si>
  <si>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</si>
  <si>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</si>
  <si>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</si>
  <si>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</si>
  <si>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</si>
  <si>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</si>
  <si>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</si>
  <si>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</si>
  <si>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</si>
  <si>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</si>
  <si>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</si>
  <si>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</si>
  <si>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</si>
  <si>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</si>
  <si>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</si>
  <si>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</si>
  <si>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</si>
  <si>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</si>
  <si>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</si>
  <si>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</si>
  <si>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</si>
  <si>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</si>
  <si>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</si>
  <si>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</si>
  <si>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</si>
  <si>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</si>
  <si>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</si>
  <si>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</si>
  <si>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</si>
  <si>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</si>
  <si>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</si>
  <si>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</si>
  <si>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</si>
  <si>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</si>
  <si>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</si>
  <si>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</si>
  <si>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</si>
  <si>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</si>
  <si>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</si>
  <si>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</si>
  <si>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</si>
  <si>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</si>
  <si>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</si>
  <si>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</si>
  <si>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</si>
  <si>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</si>
  <si>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</si>
  <si>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</si>
  <si>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</si>
  <si>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</si>
  <si>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</si>
  <si>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</si>
  <si>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</si>
  <si>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</si>
  <si>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</si>
  <si>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</si>
  <si>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</si>
  <si>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</si>
  <si>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</si>
  <si>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</si>
  <si>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</si>
  <si>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</si>
  <si>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</si>
  <si>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</si>
  <si>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</si>
  <si>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</si>
  <si>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</si>
  <si>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</si>
  <si>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</si>
  <si>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</si>
  <si>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</si>
  <si>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</si>
  <si>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</si>
  <si>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</si>
  <si>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</si>
  <si>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</si>
  <si>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</si>
  <si>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</si>
  <si>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</si>
  <si>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</si>
  <si>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</si>
  <si>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</si>
  <si>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</si>
  <si>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</si>
  <si>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</si>
  <si>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</si>
  <si>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</si>
  <si>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</si>
  <si>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</si>
  <si>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</si>
  <si>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</si>
  <si>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</si>
  <si>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</si>
  <si>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</si>
  <si>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</si>
  <si>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</si>
  <si>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</si>
  <si>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</si>
  <si>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</si>
  <si>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</si>
  <si>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</si>
  <si>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</si>
  <si>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</si>
  <si>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</si>
  <si>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</si>
  <si>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</si>
  <si>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</si>
  <si>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</si>
  <si>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</si>
  <si>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</si>
  <si>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</si>
  <si>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</si>
  <si>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</si>
  <si>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</si>
  <si>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(A) A project that meets at least one of the following shall receive 20 points:</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</si>
  <si>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</si>
  <si>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</si>
  <si>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</si>
  <si>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</si>
  <si>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List the public entity:</t>
  </si>
  <si>
    <t>2. SELECT ONE OPTION BELOW</t>
  </si>
  <si>
    <t>(A) A project that meets the following shall receive 20 points:</t>
  </si>
  <si>
    <t>A replacement or rehabilitation project approved by HUD pursuant to a Section 18 or 22 Demolition/ Disposition authorization</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</si>
  <si>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</si>
  <si>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</si>
  <si>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</si>
  <si>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</si>
  <si>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A component one project being rehabilitated under the HUD Rental Assistance Demonstration (RAD) Program</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</si>
  <si>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</si>
  <si>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</si>
  <si>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</si>
  <si>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</si>
  <si>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</si>
  <si>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</si>
  <si>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</si>
  <si>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</si>
  <si>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</si>
  <si>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A component two project being rehabilitated under the HUD Rental Assistance Demonstration (RAD) Program</t>
  </si>
  <si>
    <t xml:space="preserve">(ii) A project that has never received an allocation of Low Income Housing Tax Credits. </t>
  </si>
  <si>
    <t>A project with a pre-1999 HCD loan that is being restructured pursuant to Section 50560 of the Health and Safety Code (AB 1699) that has not previously received an allocation of Low-Income Housing Tax Credits</t>
  </si>
  <si>
    <t>Total Points for Acquisition/Rehabilitation Project Priorities:</t>
  </si>
  <si>
    <t>c.  General Partner and Management Company Characteristics</t>
  </si>
  <si>
    <t>Maximum 10 Points</t>
  </si>
  <si>
    <t>SELECT ONE OPTION (Limited to New Construction Projects and qualifying Adaptive Reuse Projects)</t>
  </si>
  <si>
    <t>A project applying as an SRO housing type, as defined in Section 10325(g) of the CTCAC regulations, and the rehabilitation will add a bathroom and complete kitchen to each unit</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</si>
  <si>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</si>
  <si>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</si>
  <si>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(C) A project that meets the following shall receive 6 points:</t>
  </si>
  <si>
    <t>total</t>
  </si>
  <si>
    <t>(2)</t>
  </si>
  <si>
    <t xml:space="preserve">The project is being developed at a per net acre density that meets or exceeds one of the following:
</t>
  </si>
  <si>
    <t>2. Other Rehabilitation Projects</t>
  </si>
  <si>
    <t>100 bedrooms per net acre in a metropolitan county; or</t>
  </si>
  <si>
    <t xml:space="preserve"> A project meeting all of the following criteria shall receive 20 points: </t>
  </si>
  <si>
    <t>60 bedrooms per net acre in a suburban jurisdiction; or</t>
  </si>
  <si>
    <t>40 bedrooms per net acre in all other areas.</t>
  </si>
  <si>
    <t>The project does not result in a distribution of net project equity as defined in CTCAC Regulations
to a general partner or a related party to the general partner (there may be a buyout of a limited
partner or equity distributed to a third party seller);</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</si>
  <si>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</si>
  <si>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</si>
  <si>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</si>
  <si>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</si>
  <si>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</si>
  <si>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</si>
  <si>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</si>
  <si>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</si>
  <si>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Total Points for Preservation and Other Rehabilitation Project Priorities:</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</si>
  <si>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</si>
  <si>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</si>
  <si>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</si>
  <si>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</si>
  <si>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</si>
  <si>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</si>
  <si>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</si>
  <si>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</si>
  <si>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</si>
  <si>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</si>
  <si>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</si>
  <si>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</si>
  <si>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</si>
  <si>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</si>
  <si>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</si>
  <si>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</si>
  <si>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</si>
  <si>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</si>
  <si>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</si>
  <si>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</si>
  <si>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</si>
  <si>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</si>
  <si>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</si>
  <si>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</si>
  <si>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</si>
  <si>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</si>
  <si>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</si>
  <si>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</si>
  <si>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</si>
  <si>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</si>
  <si>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</si>
  <si>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</si>
  <si>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</si>
  <si>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</si>
  <si>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</si>
  <si>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</si>
  <si>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</si>
  <si>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</si>
  <si>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</si>
  <si>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</si>
  <si>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</si>
  <si>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</si>
  <si>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</si>
  <si>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</si>
  <si>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</si>
  <si>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</si>
  <si>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</si>
  <si>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</si>
  <si>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</si>
  <si>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</si>
  <si>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</si>
  <si>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</si>
  <si>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</si>
  <si>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</si>
  <si>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</si>
  <si>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</si>
  <si>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</si>
  <si>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</si>
  <si>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</si>
  <si>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</si>
  <si>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</si>
  <si>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</si>
  <si>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</si>
  <si>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</si>
  <si>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</si>
  <si>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</si>
  <si>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</si>
  <si>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</si>
  <si>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</si>
  <si>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</si>
  <si>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</si>
  <si>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</si>
  <si>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</si>
  <si>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t>Annual Rental Income Differential for PUBLIC RENT SUBSIDIES:</t>
  </si>
  <si>
    <t>*Rent Limit Underwriting:</t>
  </si>
  <si>
    <t xml:space="preserve">Special Needs Units in Special Needs Projects subject to the 40% average AMI requirement </t>
  </si>
  <si>
    <t>of CTCAC Reg. §10325(g)(3)(A), use 30% AMI rent limits</t>
  </si>
  <si>
    <t>Use 40% AMI for ALL OTHERS</t>
  </si>
  <si>
    <t>**Contract Rent Underwriting:</t>
  </si>
  <si>
    <t>For USDA subsidy only, use the higher of 60% AMI or committed basic contract rents.</t>
  </si>
  <si>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</si>
  <si>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</si>
  <si>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</si>
  <si>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</si>
  <si>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</si>
  <si>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</si>
  <si>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</si>
  <si>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</si>
  <si>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</si>
  <si>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</si>
  <si>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</si>
  <si>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t>Annual Rental Income Differential for PUBLIC OPERATING SUBSIDIES:</t>
  </si>
  <si>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</si>
  <si>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</si>
  <si>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</si>
  <si>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</si>
  <si>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</si>
  <si>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</si>
  <si>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</si>
  <si>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</si>
  <si>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</si>
  <si>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</si>
  <si>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</si>
  <si>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</si>
  <si>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</si>
  <si>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</si>
  <si>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</si>
  <si>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</si>
  <si>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</si>
  <si>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</si>
  <si>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</si>
  <si>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</si>
  <si>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</si>
  <si>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</si>
  <si>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</si>
  <si>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</si>
  <si>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</si>
  <si>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</si>
  <si>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</si>
  <si>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</si>
  <si>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</si>
  <si>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</si>
  <si>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</si>
  <si>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</si>
  <si>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</si>
  <si>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</si>
  <si>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</si>
  <si>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</si>
  <si>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</si>
  <si>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</si>
  <si>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</si>
  <si>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</si>
  <si>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</si>
  <si>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</si>
  <si>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</si>
  <si>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</si>
  <si>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</si>
  <si>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</si>
  <si>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</si>
  <si>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</si>
  <si>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</si>
  <si>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</si>
  <si>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t>AND MEETS ONE OF THE FOLLOWING TWO REQUIREMENTS:</t>
  </si>
  <si>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</si>
  <si>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</si>
  <si>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t>The sponsor has previously developed affordable housing within the community in which the QRRP will be located in the past 20 years</t>
  </si>
  <si>
    <t>The sponsor has continually, during the prior 10 years preceding the application date, provided educational, health or economic development services to the community in which the QRRP will be located</t>
  </si>
  <si>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</si>
  <si>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</si>
  <si>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</si>
  <si>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</si>
  <si>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</si>
  <si>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</si>
  <si>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</si>
  <si>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</si>
  <si>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provision of on-site services would be duplicative. 
</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</si>
  <si>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</si>
  <si>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t xml:space="preserve">Items 1 through 6 are applicable to Large Family, Senior, and At-Risk projects. Items 7 through 12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</si>
  <si>
    <t>Proportional Scoring for Services - Projects with less than 75% Special Needs Units: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Proportional scoring for this paragraph means,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</si>
  <si>
    <t>Single Housing Type</t>
  </si>
  <si>
    <t>Proportional Scoring 2 housing types</t>
  </si>
  <si>
    <t>Targeted</t>
  </si>
  <si>
    <t>Proportional Scoring for Services - Scattered Site Projects: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In addition, scattered site more than 0.5 mile (1.5 miles for Rural set-aside) from the nearest other site with services must provide services independently. Proportional scoring for this paragraph means, for a project to score the maximum 10 points, each site must independently score 10 points for service amenities.</t>
  </si>
  <si>
    <t>sum</t>
  </si>
  <si>
    <t>The application’s Service Amenity Sources and Uses Budget page must clearly describe all anticipated income and expenses associated with the services program(s) and must align with the services commitments provided (i.e. contracts, MOUs, letters, etc.)  Applications shall receive points for services only if the proposed services budget adequately accounts for the level of service.  The budgeted amount must reasonably be expected to cover the costs of the proposed level of service.  All organizations providing services for which the project is claiming points must document that they have at least 24 months of experience providing services to the project’s target population. PLEASE REFER TO REGULATION SECTION 10325(c)(5)(B) FOR COMPLETE SERVICE AMENITY POINTS REQUIREMENTS.</t>
  </si>
  <si>
    <t xml:space="preserve">No more than 10 points will be awarded in this category. The service budget spreadsheet must be completed. </t>
  </si>
  <si>
    <t>Large Family, Senior, At-Risk: Number of Bedrooms =</t>
  </si>
  <si>
    <t>Special Needs, SRO: Number of Bedrooms =</t>
  </si>
  <si>
    <t>a) Large Family, Senior, At-Risk projects:</t>
  </si>
  <si>
    <t>Service Coordinator.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</si>
  <si>
    <t>Minimum ratio of 1 Full Time Equivalent (FTE) Service Coordinator to 600 bedrooms.</t>
  </si>
  <si>
    <t>5 points</t>
  </si>
  <si>
    <t xml:space="preserve">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</si>
  <si>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Services Specialist to 600 bedrooms.</t>
  </si>
  <si>
    <t xml:space="preserve">Instructor-led 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</si>
  <si>
    <t xml:space="preserve">Minimum of 84 hours instruction each year (42 hours for small developments*).  </t>
  </si>
  <si>
    <t>7 points</t>
  </si>
  <si>
    <t xml:space="preserve">Minimum of 60 hours instruction each year (30 hours for small developments*).  </t>
  </si>
  <si>
    <t>*small developments = 20 units or less</t>
  </si>
  <si>
    <t>Health and wellness services and programs.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</si>
  <si>
    <t xml:space="preserve">Minimum of 100 hours of services per year for each 100 bedrooms.  </t>
  </si>
  <si>
    <t xml:space="preserve">Minimum of 60 hours of services per year for each 100 bedrooms.  </t>
  </si>
  <si>
    <t>3 points</t>
  </si>
  <si>
    <t>(5)</t>
  </si>
  <si>
    <t>Licensed child care.  Shall be available 20 hours or more per week, Monday through Friday, to residents of the development.  (Only for large family projects or other projects in which at least 25% of Low-Income Units are 3 bedrooms or larger.)</t>
  </si>
  <si>
    <t>(6)</t>
  </si>
  <si>
    <t>After school program for school age children.  Includes, but is not limited to tutoring, mentoring, homework club, art and recreational activities.  (Only for large family projects or other projects in which at least 25% of Low-Income Units are 3 bedrooms or larger):</t>
  </si>
  <si>
    <t>Minimum of 10 hours per week, offered weekdays throughout the school year.</t>
  </si>
  <si>
    <t>Minimum of 6 hours per week, offered weekdays throughout the school year.</t>
  </si>
  <si>
    <t>b) Special Needs, SRO projects:</t>
  </si>
  <si>
    <t>(7)</t>
  </si>
  <si>
    <t>Case Manager.  Responsibilities must include (but are not limited to) working with tenants to develop and implement an individualized service plan, goal plan or independent living plan:</t>
  </si>
  <si>
    <t>Minimum ratio of 1 Full Time Equivalent (FTE) Case Manager to 100 bedrooms.</t>
  </si>
  <si>
    <t>(8)</t>
  </si>
  <si>
    <t xml:space="preserve">Service Coordinator or Other Services Specialist.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</si>
  <si>
    <t>Minimum ratio of 1 FTE Service Coordinator/Other Services Specialist to 360 bedrooms.</t>
  </si>
  <si>
    <t>(9)</t>
  </si>
  <si>
    <t xml:space="preserve">Adult educational, health and wellness, or skill building classes.  Includes but is not limited to:  financial literacy, computer training, home-buyer education, GED, resume building, ESL, nutrition, exercise, health information/awareness, art, parenting, on-site food cultivation and preparation, and smoking cessation classes:  </t>
  </si>
  <si>
    <t xml:space="preserve">Minimum of 84 hours of instruction each year (42 hours for small developments*).  </t>
  </si>
  <si>
    <t>(10)</t>
  </si>
  <si>
    <t>Health or behavioral health services provided by appropriately-licensed organization or individual.  Includes but is not limited to: health clinic, adult day health center, medication management services, mental health services and treatment, substance abuse services and treatment.</t>
  </si>
  <si>
    <t>(11)</t>
  </si>
  <si>
    <t>(12)</t>
  </si>
  <si>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</si>
  <si>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</si>
  <si>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</si>
  <si>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</si>
  <si>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</si>
  <si>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</si>
  <si>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</si>
  <si>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</si>
  <si>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</si>
  <si>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</si>
  <si>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</si>
  <si>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</si>
  <si>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</si>
  <si>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</si>
  <si>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</si>
  <si>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</si>
  <si>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</si>
  <si>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</si>
  <si>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</si>
  <si>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</si>
  <si>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</si>
  <si>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</si>
  <si>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</si>
  <si>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</si>
  <si>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</si>
  <si>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</si>
  <si>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</si>
  <si>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</si>
  <si>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</si>
  <si>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</si>
  <si>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</si>
  <si>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</si>
  <si>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</si>
  <si>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</si>
  <si>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</si>
  <si>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</si>
  <si>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</si>
  <si>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</si>
  <si>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</si>
  <si>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</si>
  <si>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</si>
  <si>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</si>
  <si>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</si>
  <si>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</si>
  <si>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</si>
  <si>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</si>
  <si>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</si>
  <si>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</si>
  <si>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</si>
  <si>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</si>
  <si>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</si>
  <si>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</si>
  <si>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</si>
  <si>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</si>
  <si>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</si>
  <si>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</si>
  <si>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</si>
  <si>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</si>
  <si>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</si>
  <si>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</si>
  <si>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</si>
  <si>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</si>
  <si>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</si>
  <si>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</si>
  <si>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</si>
  <si>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</si>
  <si>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</si>
  <si>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</si>
  <si>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</si>
  <si>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</si>
  <si>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</si>
  <si>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</si>
  <si>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</si>
  <si>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</si>
  <si>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</si>
  <si>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</si>
  <si>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</si>
  <si>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</si>
  <si>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</si>
  <si>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</si>
  <si>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</si>
  <si>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</si>
  <si>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10 points, each site must independently score 10 points for site amenities. No more than 10 points will be awarded in this category. Only one point award will be available in each of the subcategories listed below. </t>
  </si>
  <si>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</si>
  <si>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</si>
  <si>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</si>
  <si>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</si>
  <si>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</si>
  <si>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</si>
  <si>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</si>
  <si>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</si>
  <si>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</si>
  <si>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</si>
  <si>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</si>
  <si>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</si>
  <si>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</si>
  <si>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</si>
  <si>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</si>
  <si>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</si>
  <si>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</si>
  <si>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</si>
  <si>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</si>
  <si>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</si>
  <si>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</si>
  <si>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</si>
  <si>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</si>
  <si>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</si>
  <si>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</si>
  <si>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</si>
  <si>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</si>
  <si>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</si>
  <si>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</si>
  <si>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</si>
  <si>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</si>
  <si>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</si>
  <si>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</si>
  <si>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</si>
  <si>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</si>
  <si>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</si>
  <si>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</si>
  <si>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</si>
  <si>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</si>
  <si>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</si>
  <si>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</si>
  <si>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 xml:space="preserve">The site is within 1/2 mile of a public park or a community center accessible to the general public (1 mile for Rural set-aside projects). A public park shall not include 1) school grounds unless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unless there is a trailhead or designated access point within the specified distance. </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</si>
  <si>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</si>
  <si>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</si>
  <si>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</si>
  <si>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</si>
  <si>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</si>
  <si>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</si>
  <si>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</si>
  <si>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</si>
  <si>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</si>
  <si>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</si>
  <si>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</si>
  <si>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</si>
  <si>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</si>
  <si>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</si>
  <si>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</si>
  <si>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</si>
  <si>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</si>
  <si>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</si>
  <si>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</si>
  <si>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</si>
  <si>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</si>
  <si>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</si>
  <si>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</si>
  <si>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</si>
  <si>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</si>
  <si>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</si>
  <si>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</si>
  <si>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</si>
  <si>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</si>
  <si>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</si>
  <si>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</si>
  <si>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</si>
  <si>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</si>
  <si>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</si>
  <si>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</si>
  <si>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</si>
  <si>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</si>
  <si>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</si>
  <si>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</si>
  <si>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For a senior development the project site is within 1/2 mile of a daily operated senior center or a facility offering daily services to seniors (not on the project site) (1 mile for Rural set-aside).</t>
  </si>
  <si>
    <t>Specific Service Oriented Facility</t>
  </si>
  <si>
    <t>Medical Clinic/Hospital</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</si>
  <si>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</si>
  <si>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</si>
  <si>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</si>
  <si>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</si>
  <si>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t>For a special needs development, the site is located within 1/2 mile of a facility that operates to serve the population living in the development.</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</si>
  <si>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</si>
  <si>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</si>
  <si>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</si>
  <si>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</si>
  <si>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</si>
  <si>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</si>
  <si>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</si>
  <si>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</si>
  <si>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</si>
  <si>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</si>
  <si>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Rural set-aside only:  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</si>
  <si>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</si>
  <si>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</si>
  <si>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</si>
  <si>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</si>
  <si>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</si>
  <si>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</si>
  <si>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</si>
  <si>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</si>
  <si>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</si>
  <si>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</si>
  <si>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</si>
  <si>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</si>
  <si>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</si>
  <si>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</si>
  <si>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</si>
  <si>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</si>
  <si>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</si>
  <si>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</si>
  <si>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</si>
  <si>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</si>
  <si>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</si>
  <si>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</si>
  <si>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</si>
  <si>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</si>
  <si>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Rental Subsidy Contract by Unit</t>
  </si>
  <si>
    <t>Bedroom Type</t>
  </si>
  <si>
    <t>Number of Units¹</t>
  </si>
  <si>
    <t>Voucher Type²</t>
  </si>
  <si>
    <t>Proposed Monthly Rent per Unit                             Less Utility Allowance³</t>
  </si>
  <si>
    <t>Subsidy Contract Monthly Rent per Unit                    Less Utility Allowance*</t>
  </si>
  <si>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</si>
  <si>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</si>
  <si>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</si>
  <si>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</si>
  <si>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</si>
  <si>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</si>
  <si>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</si>
  <si>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t xml:space="preserve">15 YEAR PROJECT CASH FLOW PROJECTIONS - Refer to CTCAC Regulation Sections 10322(h)(22), 10325(f)(5), 10326(g)(4), 10327(f) and (g). </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</si>
  <si>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</si>
  <si>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</si>
  <si>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</si>
  <si>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</si>
  <si>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</si>
  <si>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</si>
  <si>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</si>
  <si>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</si>
  <si>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</si>
  <si>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</si>
  <si>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</si>
  <si>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</si>
  <si>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</si>
  <si>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</si>
  <si>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</si>
  <si>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</si>
  <si>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</si>
  <si>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</si>
  <si>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</si>
  <si>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</si>
  <si>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</si>
  <si>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</si>
  <si>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</si>
  <si>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</si>
  <si>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</si>
  <si>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</si>
  <si>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</si>
  <si>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</si>
  <si>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</si>
  <si>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</si>
  <si>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</si>
  <si>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</si>
  <si>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</si>
  <si>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</si>
  <si>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</si>
  <si>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</si>
  <si>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</si>
  <si>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</si>
  <si>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</si>
  <si>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</si>
  <si>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</si>
  <si>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</si>
  <si>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</si>
  <si>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</si>
  <si>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</si>
  <si>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</si>
  <si>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</si>
  <si>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t>**Other Fees and all payments made from cash flow after must pay debt should be completed according to the terms of the partnership agreement (or equivalent ownership entity terms).  Please re-order line items consistent with any "order of priority" terms.  These items are to be completed when submitting an updated application for the Carryover, Readiness, and Placed-in-Service deadlines.</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</si>
  <si>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</si>
  <si>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</si>
  <si>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</si>
  <si>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</si>
  <si>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</si>
  <si>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</si>
  <si>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</si>
  <si>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</si>
  <si>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</si>
  <si>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</si>
  <si>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</si>
  <si>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</si>
  <si>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</si>
  <si>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</si>
  <si>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</si>
  <si>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</si>
  <si>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Broadway Villages</t>
  </si>
  <si>
    <t>Broadway Villages GP, LLC</t>
  </si>
  <si>
    <t>KFA, LLP</t>
  </si>
  <si>
    <t>Johanna Hauser</t>
  </si>
  <si>
    <t>FPI Management, Inc.</t>
  </si>
  <si>
    <t>Assumed Soft Loans</t>
  </si>
  <si>
    <t>Above residual receipts line for cash flow</t>
  </si>
  <si>
    <t>2396.02, 2319.02</t>
  </si>
  <si>
    <t>6031-020-001, 5110-027-025</t>
  </si>
  <si>
    <t>Loss to Lease</t>
  </si>
  <si>
    <t>Berkadia - Taxable Loan</t>
  </si>
  <si>
    <t>Deferred Costs</t>
  </si>
  <si>
    <t>Taxable Construction Loan</t>
  </si>
  <si>
    <t>Tax-Exempt Construction Loan</t>
  </si>
  <si>
    <t>LAHD BV I&amp;II Assumed Soft Loan</t>
  </si>
  <si>
    <t>HCD BV I&amp;II Assumed Soft Loan</t>
  </si>
  <si>
    <t>LACDA BV I&amp;II Assumed Soft Loan</t>
  </si>
  <si>
    <t>1730 E. Holly Ave., Suite 327</t>
  </si>
  <si>
    <t>323-497-1705</t>
  </si>
  <si>
    <t>Steven Brady</t>
  </si>
  <si>
    <t>1910 Sunset Blvd., Suite 300 3rd Floor</t>
  </si>
  <si>
    <t>700 West Main Street</t>
  </si>
  <si>
    <t>Andrew Miller</t>
  </si>
  <si>
    <t>Bradley Sutton</t>
  </si>
  <si>
    <t>9342 Tech Center Drive, Suite 550</t>
  </si>
  <si>
    <t xml:space="preserve">7800 Broadway (aka 254 W. 78th Street); 5101 S. Broadway </t>
  </si>
  <si>
    <t>90003 / 90037</t>
  </si>
  <si>
    <t>Fixed</t>
  </si>
  <si>
    <t>Housing Authority of the City of Los Angeles</t>
  </si>
  <si>
    <t>HCD FMTW</t>
  </si>
  <si>
    <t>LACDA</t>
  </si>
  <si>
    <t>Deep Green Housing and Community Development</t>
  </si>
  <si>
    <t>Joanne Yokota</t>
  </si>
  <si>
    <t>President</t>
  </si>
  <si>
    <t>400 W. 9th Street, Los Angeles</t>
  </si>
  <si>
    <t>CA 90015</t>
  </si>
  <si>
    <t>Secured by Fee Interest</t>
  </si>
  <si>
    <t>Two 4-story podium build buildings with parking on 1st floor</t>
  </si>
  <si>
    <t>800 Iron Point Road</t>
  </si>
  <si>
    <t>Folsom, CA 95630</t>
  </si>
  <si>
    <t>June Valle</t>
  </si>
  <si>
    <t>june.valle@fpimgt.com</t>
  </si>
  <si>
    <t>OGI Environmental</t>
  </si>
  <si>
    <t>7260 W. Azure Drive</t>
  </si>
  <si>
    <t>Las Vegas, NV 89130</t>
  </si>
  <si>
    <t>Andrew Rausch</t>
  </si>
  <si>
    <t>andy@ogienviro.com</t>
  </si>
  <si>
    <t>3573 Hayden Avenue</t>
  </si>
  <si>
    <t>Culver City, CA 90232</t>
  </si>
  <si>
    <t>johannahauser@kfalosangeles.com</t>
  </si>
  <si>
    <t>California HCD</t>
  </si>
  <si>
    <t>Los Angeles County Dev. Authority</t>
  </si>
  <si>
    <t>Los Angeles Housing Department</t>
  </si>
  <si>
    <t>Multifamily apartment</t>
  </si>
  <si>
    <t>Existing nonconforming</t>
  </si>
  <si>
    <t>0500 Multifamily Residence, 0500 Multifamily Residence</t>
  </si>
  <si>
    <t>May</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</si>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</sst>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00000"/>
    <numFmt numFmtId="165" formatCode="[&lt;=9999999]###\-####;\(###\)\ ###\-####"/>
    <numFmt numFmtId="166" formatCode="&quot;$&quot;#,##0.00"/>
    <numFmt numFmtId="167" formatCode="0.000"/>
    <numFmt numFmtId="168" formatCode="&quot;$&quot;#,##0"/>
    <numFmt numFmtId="169" formatCode="0.0%"/>
    <numFmt numFmtId="170" formatCode="0.0000%"/>
    <numFmt numFmtId="171" formatCode="0.0"/>
    <numFmt numFmtId="172" formatCode="0.0000"/>
    <numFmt numFmtId="173" formatCode="0.000%"/>
    <numFmt numFmtId="174" formatCode="_(* #,##0_);_(* \(#,##0\);_(* &quot;-&quot;??_);_(@_)"/>
    <numFmt numFmtId="175" formatCode="_(&quot;$&quot;* #,##0_);_(&quot;$&quot;* \(#,##0\);_(&quot;$&quot;* &quot;-&quot;??_);_(@_)"/>
    <numFmt numFmtId="176" formatCode="&quot;$&quot;#,##0.0"/>
    <numFmt numFmtId="177" formatCode="0_);\(0\)"/>
    <numFmt numFmtId="178" formatCode="_(* #,##0.0000_);_(* \(#,##0.0000\);_(* &quot;-&quot;??_);_(@_)"/>
    <numFmt numFmtId="179" formatCode="000"/>
    <numFmt numFmtId="180" formatCode="0000.00"/>
    <numFmt numFmtId="181" formatCode="mm/dd/yy;@"/>
    <numFmt numFmtId="182" formatCode="[$-409]mmmm\ d\,\ yyyy;@"/>
    <numFmt numFmtId="183" formatCode="&quot;$&quot;#,##0.00000"/>
    <numFmt numFmtId="184" formatCode="#,##0.0000000000"/>
    <numFmt numFmtId="185" formatCode="General_)"/>
  </numFmts>
  <fonts count="14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MS Sans Serif"/>
      <family val="2"/>
    </font>
    <font>
      <sz val="12"/>
      <name val="Times New Roman"/>
      <family val="1"/>
    </font>
    <font>
      <sz val="9.5"/>
      <name val="Arial"/>
      <family val="2"/>
    </font>
    <font>
      <sz val="11"/>
      <color indexed="8"/>
      <name val="Calibri"/>
      <family val="2"/>
    </font>
    <font>
      <sz val="11"/>
      <name val="Arial CE"/>
    </font>
    <font>
      <sz val="9"/>
      <name val="Times New Roman"/>
      <family val="1"/>
    </font>
    <font>
      <u/>
      <sz val="10"/>
      <color indexed="12"/>
      <name val="Courier"/>
      <family val="3"/>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8"/>
      <color theme="3"/>
      <name val="Cambria"/>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8"/>
      <name val="Arial"/>
      <family val="2"/>
    </font>
    <font>
      <sz val="8"/>
      <color indexed="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i/>
      <sz val="10"/>
      <color indexed="9"/>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b/>
      <sz val="10"/>
      <color theme="9" tint="-0.249977111117893"/>
      <name val="Arial"/>
      <family val="2"/>
    </font>
    <font>
      <b/>
      <sz val="13"/>
      <color theme="9" tint="-0.249977111117893"/>
      <name val="Arial"/>
      <family val="2"/>
    </font>
    <font>
      <sz val="10"/>
      <color indexed="8"/>
      <name val="Arial"/>
      <family val="2"/>
    </font>
    <font>
      <sz val="10"/>
      <name val="Courier"/>
    </font>
    <font>
      <sz val="11"/>
      <color rgb="FF006100"/>
      <name val="Calibri"/>
      <family val="2"/>
      <scheme val="minor"/>
    </font>
    <font>
      <sz val="11"/>
      <color rgb="FF3F3F76"/>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rgb="FF9C6500"/>
      <name val="Calibri"/>
      <family val="2"/>
      <scheme val="mino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rgb="FFFFC7CE"/>
      </patternFill>
    </fill>
    <fill>
      <patternFill patternType="solid">
        <fgColor rgb="FFF2F2F2"/>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
      <patternFill patternType="solid">
        <fgColor rgb="FFC6EF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5"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s>
  <borders count="12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64"/>
      </left>
      <right style="hair">
        <color indexed="64"/>
      </right>
      <top/>
      <bottom style="hair">
        <color indexed="64"/>
      </bottom>
      <diagonal/>
    </border>
    <border>
      <left style="hair">
        <color auto="1"/>
      </left>
      <right style="hair">
        <color indexed="64"/>
      </right>
      <top style="hair">
        <color auto="1"/>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18287">
    <xf numFmtId="0" fontId="0" fillId="0"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3" fillId="23" borderId="0"/>
    <xf numFmtId="0" fontId="63" fillId="24" borderId="0"/>
    <xf numFmtId="0" fontId="63" fillId="25" borderId="0"/>
    <xf numFmtId="0" fontId="63" fillId="26" borderId="0"/>
    <xf numFmtId="0" fontId="63" fillId="27" borderId="0"/>
    <xf numFmtId="0" fontId="63" fillId="28" borderId="0"/>
    <xf numFmtId="0" fontId="63" fillId="29" borderId="0"/>
    <xf numFmtId="0" fontId="63" fillId="30" borderId="0"/>
    <xf numFmtId="0" fontId="64" fillId="31" borderId="0"/>
    <xf numFmtId="0" fontId="65" fillId="32" borderId="18"/>
    <xf numFmtId="43" fontId="139" fillId="0" borderId="0"/>
    <xf numFmtId="43" fontId="139" fillId="0" borderId="0"/>
    <xf numFmtId="43" fontId="139" fillId="0" borderId="0"/>
    <xf numFmtId="43" fontId="58" fillId="0" borderId="0"/>
    <xf numFmtId="43" fontId="58" fillId="0" borderId="0"/>
    <xf numFmtId="43" fontId="58"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58"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139" fillId="0" borderId="0"/>
    <xf numFmtId="43" fontId="105" fillId="0" borderId="0"/>
    <xf numFmtId="43" fontId="139" fillId="0" borderId="0"/>
    <xf numFmtId="44" fontId="105" fillId="0" borderId="0"/>
    <xf numFmtId="44" fontId="105" fillId="0" borderId="0"/>
    <xf numFmtId="44" fontId="105" fillId="0" borderId="0"/>
    <xf numFmtId="44" fontId="139" fillId="0" borderId="0"/>
    <xf numFmtId="44" fontId="105" fillId="0" borderId="0"/>
    <xf numFmtId="44" fontId="105" fillId="0" borderId="0"/>
    <xf numFmtId="44" fontId="105" fillId="0" borderId="0"/>
    <xf numFmtId="44" fontId="105" fillId="0" borderId="0"/>
    <xf numFmtId="44" fontId="139" fillId="0" borderId="0">
      <alignment vertical="top"/>
    </xf>
    <xf numFmtId="44" fontId="139" fillId="0" borderId="0">
      <alignment vertical="top"/>
    </xf>
    <xf numFmtId="44" fontId="105" fillId="0" borderId="0"/>
    <xf numFmtId="44" fontId="139" fillId="0" borderId="0">
      <alignment vertical="top"/>
    </xf>
    <xf numFmtId="44" fontId="139" fillId="0" borderId="0"/>
    <xf numFmtId="44" fontId="58"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39" fillId="0" borderId="0"/>
    <xf numFmtId="44" fontId="105" fillId="0" borderId="0"/>
    <xf numFmtId="44" fontId="105" fillId="0" borderId="0"/>
    <xf numFmtId="44" fontId="105" fillId="0" borderId="0"/>
    <xf numFmtId="44" fontId="105" fillId="0" borderId="0"/>
    <xf numFmtId="44" fontId="139" fillId="0" borderId="0"/>
    <xf numFmtId="44" fontId="105" fillId="0" borderId="0"/>
    <xf numFmtId="44" fontId="105" fillId="0" borderId="0"/>
    <xf numFmtId="44" fontId="105" fillId="0" borderId="0"/>
    <xf numFmtId="44" fontId="58"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05" fillId="0" borderId="0"/>
    <xf numFmtId="44" fontId="62" fillId="0" borderId="0"/>
    <xf numFmtId="44" fontId="62" fillId="0" borderId="0"/>
    <xf numFmtId="44" fontId="62" fillId="0" borderId="0"/>
    <xf numFmtId="44" fontId="62" fillId="0" borderId="0"/>
    <xf numFmtId="44" fontId="58"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05" fillId="0" borderId="0"/>
    <xf numFmtId="44" fontId="62" fillId="0" borderId="0"/>
    <xf numFmtId="44" fontId="62" fillId="0" borderId="0"/>
    <xf numFmtId="44" fontId="62" fillId="0" borderId="0"/>
    <xf numFmtId="44" fontId="62" fillId="0" borderId="0"/>
    <xf numFmtId="44" fontId="105" fillId="0" borderId="0"/>
    <xf numFmtId="44" fontId="139"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0" fontId="66" fillId="0" borderId="19"/>
    <xf numFmtId="0" fontId="67" fillId="0" borderId="20"/>
    <xf numFmtId="0" fontId="68" fillId="0" borderId="21"/>
    <xf numFmtId="0" fontId="68" fillId="0" borderId="0"/>
    <xf numFmtId="0" fontId="4" fillId="0" borderId="0"/>
    <xf numFmtId="0" fontId="4" fillId="0" borderId="0"/>
    <xf numFmtId="0" fontId="61" fillId="0" borderId="0">
      <alignment vertical="top"/>
      <protection locked="0"/>
    </xf>
    <xf numFmtId="0" fontId="5" fillId="0" borderId="0"/>
    <xf numFmtId="0" fontId="6" fillId="0" borderId="0"/>
    <xf numFmtId="0" fontId="7" fillId="0" borderId="0"/>
    <xf numFmtId="0" fontId="69" fillId="0" borderId="0"/>
    <xf numFmtId="0" fontId="139" fillId="0" borderId="0"/>
    <xf numFmtId="0" fontId="69" fillId="0" borderId="0"/>
    <xf numFmtId="0" fontId="139" fillId="0" borderId="0"/>
    <xf numFmtId="0" fontId="139"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70" fillId="0" borderId="0"/>
    <xf numFmtId="0" fontId="139" fillId="0" borderId="0"/>
    <xf numFmtId="185" fontId="47" fillId="0" borderId="0"/>
    <xf numFmtId="0" fontId="62" fillId="0" borderId="0"/>
    <xf numFmtId="0" fontId="105" fillId="0" borderId="0"/>
    <xf numFmtId="0" fontId="105" fillId="0" borderId="0"/>
    <xf numFmtId="0" fontId="52" fillId="0" borderId="0"/>
    <xf numFmtId="0" fontId="139" fillId="0" borderId="0"/>
    <xf numFmtId="0" fontId="52" fillId="0" borderId="0"/>
    <xf numFmtId="0" fontId="139" fillId="0" borderId="0"/>
    <xf numFmtId="0" fontId="55" fillId="0" borderId="0"/>
    <xf numFmtId="0" fontId="139" fillId="0" borderId="0"/>
    <xf numFmtId="0" fontId="62" fillId="0" borderId="0"/>
    <xf numFmtId="0" fontId="139" fillId="0" borderId="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5" fillId="0" borderId="0"/>
    <xf numFmtId="0" fontId="62" fillId="0" borderId="0"/>
    <xf numFmtId="0" fontId="62" fillId="0" borderId="0"/>
    <xf numFmtId="0" fontId="62" fillId="0" borderId="0"/>
    <xf numFmtId="0" fontId="62" fillId="0" borderId="0"/>
    <xf numFmtId="0" fontId="139" fillId="0" borderId="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39" fillId="0" borderId="0"/>
    <xf numFmtId="0" fontId="62" fillId="0" borderId="0"/>
    <xf numFmtId="0" fontId="62" fillId="0" borderId="0"/>
    <xf numFmtId="0" fontId="62" fillId="0" borderId="0"/>
    <xf numFmtId="0" fontId="62" fillId="0" borderId="0"/>
    <xf numFmtId="0" fontId="55" fillId="0" borderId="0"/>
    <xf numFmtId="0" fontId="139" fillId="0" borderId="0">
      <alignment vertical="top"/>
    </xf>
    <xf numFmtId="0" fontId="62" fillId="0" borderId="0"/>
    <xf numFmtId="0" fontId="62" fillId="0" borderId="0"/>
    <xf numFmtId="0" fontId="62" fillId="0" borderId="0"/>
    <xf numFmtId="0" fontId="62" fillId="0" borderId="0"/>
    <xf numFmtId="0" fontId="55" fillId="0" borderId="0"/>
    <xf numFmtId="0" fontId="105" fillId="0" borderId="0"/>
    <xf numFmtId="0" fontId="62" fillId="0" borderId="0"/>
    <xf numFmtId="0" fontId="105" fillId="0" borderId="0"/>
    <xf numFmtId="0" fontId="62" fillId="0" borderId="0"/>
    <xf numFmtId="0" fontId="62" fillId="0" borderId="0"/>
    <xf numFmtId="0" fontId="62" fillId="0" borderId="0"/>
    <xf numFmtId="0" fontId="62" fillId="0" borderId="0"/>
    <xf numFmtId="0" fontId="52" fillId="0" borderId="0"/>
    <xf numFmtId="0" fontId="139" fillId="0" borderId="0">
      <alignment vertical="top"/>
    </xf>
    <xf numFmtId="0" fontId="52" fillId="0" borderId="0"/>
    <xf numFmtId="0" fontId="139" fillId="0" borderId="0">
      <alignment vertical="top"/>
    </xf>
    <xf numFmtId="0" fontId="139" fillId="0" borderId="0">
      <alignment vertical="top"/>
    </xf>
    <xf numFmtId="0" fontId="62" fillId="0" borderId="0"/>
    <xf numFmtId="0" fontId="52" fillId="0" borderId="0"/>
    <xf numFmtId="0" fontId="62" fillId="0" borderId="0"/>
    <xf numFmtId="0" fontId="139" fillId="0" borderId="0">
      <alignment vertical="top"/>
    </xf>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139" fillId="0" borderId="0">
      <alignment vertical="top"/>
    </xf>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5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39" fillId="0" borderId="0"/>
    <xf numFmtId="0" fontId="139" fillId="0" borderId="0">
      <alignment vertical="top"/>
    </xf>
    <xf numFmtId="0" fontId="139" fillId="0" borderId="0">
      <alignment vertical="top"/>
    </xf>
    <xf numFmtId="0" fontId="139" fillId="0" borderId="0"/>
    <xf numFmtId="0" fontId="139" fillId="0" borderId="0">
      <alignment vertical="top"/>
    </xf>
    <xf numFmtId="0" fontId="139" fillId="0" borderId="0"/>
    <xf numFmtId="0" fontId="139"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105" fillId="0" borderId="0">
      <protection locked="0"/>
    </xf>
    <xf numFmtId="0" fontId="105" fillId="0" borderId="0">
      <protection locked="0"/>
    </xf>
    <xf numFmtId="0" fontId="105" fillId="0" borderId="0">
      <protection locked="0"/>
    </xf>
    <xf numFmtId="0" fontId="47" fillId="0" borderId="0"/>
    <xf numFmtId="0" fontId="105" fillId="0" borderId="0"/>
    <xf numFmtId="0" fontId="58"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58"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71" fillId="32" borderId="23"/>
    <xf numFmtId="0" fontId="8" fillId="0" borderId="0">
      <alignment horizontal="left"/>
    </xf>
    <xf numFmtId="0" fontId="72" fillId="0" borderId="0"/>
    <xf numFmtId="0" fontId="73" fillId="0" borderId="24"/>
    <xf numFmtId="0" fontId="105" fillId="0"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05"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05" fillId="0" borderId="0"/>
    <xf numFmtId="44" fontId="62" fillId="0" borderId="0"/>
    <xf numFmtId="44" fontId="62" fillId="0" borderId="0"/>
    <xf numFmtId="44" fontId="62" fillId="0" borderId="0"/>
    <xf numFmtId="44" fontId="62"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44" fontId="105"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9" fontId="105" fillId="0"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105"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105"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3" fontId="58" fillId="0" borderId="0"/>
    <xf numFmtId="44" fontId="105"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44" fontId="58" fillId="0" borderId="0"/>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58" fillId="33" borderId="22"/>
    <xf numFmtId="0" fontId="80"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72" fillId="0"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44" fontId="105" fillId="0" borderId="0"/>
    <xf numFmtId="9" fontId="105" fillId="0" borderId="0"/>
    <xf numFmtId="0" fontId="105" fillId="0" borderId="0"/>
    <xf numFmtId="0" fontId="62" fillId="0" borderId="0"/>
    <xf numFmtId="0" fontId="105" fillId="0" borderId="0"/>
    <xf numFmtId="43" fontId="62" fillId="0" borderId="0"/>
    <xf numFmtId="9" fontId="62" fillId="0" borderId="0"/>
    <xf numFmtId="0" fontId="62" fillId="0" borderId="0"/>
    <xf numFmtId="44" fontId="62" fillId="0" borderId="0"/>
    <xf numFmtId="9" fontId="62" fillId="0" borderId="0"/>
    <xf numFmtId="43" fontId="105" fillId="0"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1"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2"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3"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4"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5"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6"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7"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8"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19"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0"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1"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0" fontId="62" fillId="22"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33" borderId="22"/>
    <xf numFmtId="0" fontId="62" fillId="0" borderId="0"/>
    <xf numFmtId="44" fontId="62" fillId="0" borderId="0"/>
    <xf numFmtId="9" fontId="62" fillId="0" borderId="0"/>
    <xf numFmtId="0" fontId="62" fillId="0" borderId="0"/>
    <xf numFmtId="44" fontId="62" fillId="0" borderId="0"/>
    <xf numFmtId="9" fontId="62" fillId="0" borderId="0"/>
    <xf numFmtId="44" fontId="105" fillId="0" borderId="0"/>
    <xf numFmtId="0" fontId="62" fillId="0" borderId="0"/>
    <xf numFmtId="44" fontId="62" fillId="0" borderId="0"/>
    <xf numFmtId="9" fontId="62" fillId="0" borderId="0"/>
    <xf numFmtId="0" fontId="62" fillId="0" borderId="0"/>
    <xf numFmtId="44" fontId="62" fillId="0" borderId="0"/>
    <xf numFmtId="9" fontId="62" fillId="0" borderId="0"/>
    <xf numFmtId="0" fontId="62" fillId="0" borderId="0"/>
    <xf numFmtId="0" fontId="62" fillId="0" borderId="0"/>
    <xf numFmtId="0" fontId="105" fillId="0" borderId="0"/>
    <xf numFmtId="44" fontId="62" fillId="0" borderId="0"/>
    <xf numFmtId="9" fontId="62" fillId="0" borderId="0"/>
    <xf numFmtId="0" fontId="62" fillId="0" borderId="0"/>
    <xf numFmtId="44" fontId="62" fillId="0" borderId="0"/>
    <xf numFmtId="9" fontId="62" fillId="0" borderId="0"/>
    <xf numFmtId="0" fontId="62" fillId="0" borderId="0"/>
    <xf numFmtId="44" fontId="62" fillId="0" borderId="0"/>
    <xf numFmtId="9" fontId="62" fillId="0" borderId="0"/>
    <xf numFmtId="0" fontId="139"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139" fillId="0" borderId="0">
      <alignment vertical="top"/>
    </xf>
    <xf numFmtId="0" fontId="139" fillId="0" borderId="0">
      <alignment vertical="top"/>
    </xf>
    <xf numFmtId="0" fontId="62" fillId="0" borderId="0"/>
    <xf numFmtId="0" fontId="62" fillId="0" borderId="0"/>
    <xf numFmtId="0" fontId="139" fillId="0" borderId="0">
      <alignment vertical="top"/>
    </xf>
    <xf numFmtId="0" fontId="139" fillId="0" borderId="0">
      <alignment vertical="top"/>
    </xf>
    <xf numFmtId="0" fontId="139" fillId="0" borderId="0">
      <alignment vertical="top"/>
    </xf>
    <xf numFmtId="0" fontId="139" fillId="0" borderId="0">
      <alignment vertical="top"/>
    </xf>
    <xf numFmtId="0" fontId="139" fillId="0" borderId="0">
      <alignment vertical="top"/>
    </xf>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43" fontId="58" fillId="0" borderId="0"/>
    <xf numFmtId="0" fontId="62" fillId="16" borderId="0"/>
    <xf numFmtId="0" fontId="62" fillId="22" borderId="0"/>
    <xf numFmtId="43" fontId="58"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58"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11" borderId="0"/>
    <xf numFmtId="0" fontId="62" fillId="17" borderId="0"/>
    <xf numFmtId="0" fontId="62" fillId="12" borderId="0"/>
    <xf numFmtId="0" fontId="62" fillId="18" borderId="0"/>
    <xf numFmtId="0" fontId="62" fillId="13" borderId="0"/>
    <xf numFmtId="0" fontId="62" fillId="19" borderId="0"/>
    <xf numFmtId="0" fontId="62" fillId="14" borderId="0"/>
    <xf numFmtId="0" fontId="62" fillId="20" borderId="0"/>
    <xf numFmtId="0" fontId="62" fillId="15" borderId="0"/>
    <xf numFmtId="0" fontId="62" fillId="21" borderId="0"/>
    <xf numFmtId="0" fontId="62" fillId="16" borderId="0"/>
    <xf numFmtId="0" fontId="62" fillId="22"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43" fontId="62" fillId="0" borderId="0"/>
    <xf numFmtId="44" fontId="62" fillId="0" borderId="0"/>
    <xf numFmtId="0" fontId="62" fillId="0" borderId="0"/>
    <xf numFmtId="0" fontId="62" fillId="33" borderId="22"/>
    <xf numFmtId="44" fontId="62" fillId="0" borderId="0"/>
    <xf numFmtId="0" fontId="62" fillId="33" borderId="22"/>
    <xf numFmtId="0" fontId="62" fillId="13" borderId="0"/>
    <xf numFmtId="0" fontId="62" fillId="12" borderId="0"/>
    <xf numFmtId="0" fontId="62" fillId="14" borderId="0"/>
    <xf numFmtId="0" fontId="62" fillId="16" borderId="0"/>
    <xf numFmtId="0" fontId="62" fillId="15" borderId="0"/>
    <xf numFmtId="0" fontId="62" fillId="11" borderId="0"/>
    <xf numFmtId="0" fontId="62" fillId="17" borderId="0"/>
    <xf numFmtId="0" fontId="62" fillId="18" borderId="0"/>
    <xf numFmtId="0" fontId="62" fillId="19" borderId="0"/>
    <xf numFmtId="0" fontId="62" fillId="20" borderId="0"/>
    <xf numFmtId="0" fontId="62" fillId="21" borderId="0"/>
    <xf numFmtId="0" fontId="62" fillId="22"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33" borderId="22"/>
    <xf numFmtId="0" fontId="62" fillId="33" borderId="22"/>
    <xf numFmtId="0" fontId="62" fillId="0" borderId="0"/>
    <xf numFmtId="0" fontId="62" fillId="0" borderId="0"/>
    <xf numFmtId="0" fontId="139" fillId="0" borderId="0">
      <alignment vertical="top"/>
    </xf>
    <xf numFmtId="0" fontId="139" fillId="0" borderId="0">
      <alignment vertical="top"/>
    </xf>
    <xf numFmtId="43" fontId="58" fillId="0" borderId="0"/>
    <xf numFmtId="44" fontId="58" fillId="0" borderId="0"/>
    <xf numFmtId="44" fontId="58" fillId="0" borderId="0"/>
    <xf numFmtId="44" fontId="58" fillId="0" borderId="0"/>
    <xf numFmtId="0" fontId="70" fillId="0" borderId="0"/>
    <xf numFmtId="0" fontId="58" fillId="33" borderId="22"/>
    <xf numFmtId="0" fontId="58" fillId="33" borderId="22"/>
    <xf numFmtId="43" fontId="105" fillId="0" borderId="0"/>
    <xf numFmtId="0" fontId="105" fillId="0" borderId="0"/>
    <xf numFmtId="43" fontId="62" fillId="0" borderId="0"/>
    <xf numFmtId="9" fontId="62" fillId="0" borderId="0"/>
    <xf numFmtId="43" fontId="62" fillId="0" borderId="0"/>
    <xf numFmtId="43" fontId="62" fillId="0" borderId="0"/>
    <xf numFmtId="43" fontId="62" fillId="0" borderId="0"/>
    <xf numFmtId="43" fontId="62" fillId="0" borderId="0"/>
    <xf numFmtId="44" fontId="62" fillId="0" borderId="0"/>
    <xf numFmtId="44" fontId="62" fillId="0" borderId="0"/>
    <xf numFmtId="44" fontId="62" fillId="0" borderId="0"/>
    <xf numFmtId="44" fontId="62" fillId="0" borderId="0"/>
    <xf numFmtId="44" fontId="62" fillId="0" borderId="0"/>
    <xf numFmtId="0" fontId="105" fillId="0" borderId="0"/>
    <xf numFmtId="0" fontId="105" fillId="0" borderId="0"/>
    <xf numFmtId="0" fontId="105" fillId="0" borderId="0"/>
    <xf numFmtId="0" fontId="62" fillId="0" borderId="0"/>
    <xf numFmtId="0" fontId="62" fillId="0" borderId="0"/>
    <xf numFmtId="0" fontId="62" fillId="0" borderId="0"/>
    <xf numFmtId="0" fontId="62" fillId="0" borderId="0"/>
    <xf numFmtId="0" fontId="105" fillId="0" borderId="0"/>
    <xf numFmtId="0" fontId="62" fillId="33" borderId="22"/>
    <xf numFmtId="0" fontId="62" fillId="33" borderId="22"/>
    <xf numFmtId="185" fontId="140" fillId="0" borderId="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141" fillId="47" borderId="0" applyNumberFormat="0" applyBorder="0" applyAlignment="0" applyProtection="0"/>
    <xf numFmtId="0" fontId="64" fillId="31" borderId="0" applyNumberFormat="0" applyBorder="0" applyAlignment="0" applyProtection="0"/>
    <xf numFmtId="0" fontId="142" fillId="49" borderId="18" applyNumberFormat="0" applyAlignment="0" applyProtection="0"/>
    <xf numFmtId="0" fontId="71" fillId="32" borderId="23" applyNumberFormat="0" applyAlignment="0" applyProtection="0"/>
    <xf numFmtId="0" fontId="65" fillId="32" borderId="18" applyNumberFormat="0" applyAlignment="0" applyProtection="0"/>
    <xf numFmtId="0" fontId="143" fillId="0" borderId="123" applyNumberFormat="0" applyFill="0" applyAlignment="0" applyProtection="0"/>
    <xf numFmtId="0" fontId="144" fillId="50" borderId="124" applyNumberFormat="0" applyAlignment="0" applyProtection="0"/>
    <xf numFmtId="0" fontId="74" fillId="0" borderId="0" applyNumberFormat="0" applyFill="0" applyBorder="0" applyAlignment="0" applyProtection="0"/>
    <xf numFmtId="0" fontId="145" fillId="0" borderId="0" applyNumberFormat="0" applyFill="0" applyBorder="0" applyAlignment="0" applyProtection="0"/>
    <xf numFmtId="0" fontId="73" fillId="0" borderId="24" applyNumberFormat="0" applyFill="0" applyAlignment="0" applyProtection="0"/>
    <xf numFmtId="0" fontId="63" fillId="27"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63" fillId="28"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63" fillId="29"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63" fillId="30"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63" fillId="52"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63" fillId="54"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3"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51" borderId="0" applyNumberFormat="0" applyBorder="0" applyAlignment="0" applyProtection="0"/>
    <xf numFmtId="0" fontId="63" fillId="24" borderId="0" applyNumberFormat="0" applyBorder="0" applyAlignment="0" applyProtection="0"/>
    <xf numFmtId="0" fontId="63" fillId="24" borderId="0" applyNumberFormat="0" applyBorder="0" applyAlignment="0" applyProtection="0"/>
    <xf numFmtId="0" fontId="63" fillId="25" borderId="0" applyNumberFormat="0" applyBorder="0" applyAlignment="0" applyProtection="0"/>
    <xf numFmtId="0" fontId="63" fillId="25" borderId="0" applyNumberFormat="0" applyBorder="0" applyAlignment="0" applyProtection="0"/>
    <xf numFmtId="0" fontId="63" fillId="53"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4" fillId="31" borderId="0" applyNumberFormat="0" applyBorder="0" applyAlignment="0" applyProtection="0"/>
    <xf numFmtId="0" fontId="65" fillId="32" borderId="18" applyNumberFormat="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6" fillId="0" borderId="0" applyFont="0" applyFill="0" applyBorder="0" applyAlignment="0" applyProtection="0"/>
    <xf numFmtId="43" fontId="3" fillId="0" borderId="0" applyFont="0" applyFill="0" applyBorder="0" applyAlignment="0" applyProtection="0"/>
    <xf numFmtId="43" fontId="4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alignment vertical="top"/>
    </xf>
    <xf numFmtId="44" fontId="3" fillId="0" borderId="0" applyFont="0" applyFill="0" applyBorder="0" applyAlignment="0" applyProtection="0"/>
    <xf numFmtId="44" fontId="46" fillId="0" borderId="0" applyFont="0" applyFill="0" applyBorder="0" applyAlignment="0" applyProtection="0">
      <alignment vertical="top"/>
    </xf>
    <xf numFmtId="44" fontId="46"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4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46"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66" fillId="0" borderId="19" applyNumberFormat="0" applyFill="0" applyAlignment="0" applyProtection="0"/>
    <xf numFmtId="0" fontId="67" fillId="0" borderId="20" applyNumberFormat="0" applyFill="0" applyAlignment="0" applyProtection="0"/>
    <xf numFmtId="0" fontId="68" fillId="0" borderId="21" applyNumberFormat="0" applyFill="0" applyAlignment="0" applyProtection="0"/>
    <xf numFmtId="0" fontId="6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1" fillId="0" borderId="0" applyNumberFormat="0" applyFill="0" applyBorder="0" applyAlignment="0" applyProtection="0">
      <alignment vertical="top"/>
      <protection locked="0"/>
    </xf>
    <xf numFmtId="0" fontId="5" fillId="0" borderId="0" applyNumberFormat="0" applyBorder="0"/>
    <xf numFmtId="0" fontId="6" fillId="0" borderId="0" applyBorder="0" applyAlignment="0"/>
    <xf numFmtId="0" fontId="7" fillId="0" borderId="0" applyFill="0" applyBorder="0" applyAlignment="0"/>
    <xf numFmtId="0" fontId="146" fillId="48" borderId="0" applyNumberFormat="0" applyBorder="0" applyAlignment="0" applyProtection="0"/>
    <xf numFmtId="0" fontId="46" fillId="0" borderId="0"/>
    <xf numFmtId="0" fontId="46" fillId="0" borderId="0"/>
    <xf numFmtId="0" fontId="46"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3" fillId="0" borderId="0"/>
    <xf numFmtId="0" fontId="3" fillId="0" borderId="0"/>
    <xf numFmtId="0" fontId="46" fillId="0" borderId="0"/>
    <xf numFmtId="0" fontId="46" fillId="0" borderId="0"/>
    <xf numFmtId="0" fontId="46" fillId="0" borderId="0"/>
    <xf numFmtId="0" fontId="1" fillId="0" borderId="0"/>
    <xf numFmtId="0" fontId="4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46" fillId="0" borderId="0">
      <alignment vertical="top"/>
    </xf>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46" fillId="0" borderId="0">
      <alignment vertical="top"/>
    </xf>
    <xf numFmtId="0" fontId="46" fillId="0" borderId="0">
      <alignment vertical="top"/>
    </xf>
    <xf numFmtId="0" fontId="46" fillId="0" borderId="0">
      <alignment vertical="top"/>
    </xf>
    <xf numFmtId="0" fontId="1" fillId="0" borderId="0"/>
    <xf numFmtId="0" fontId="1" fillId="0" borderId="0"/>
    <xf numFmtId="0" fontId="4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46" fillId="0" borderId="0">
      <alignment vertical="top"/>
    </xf>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alignment vertical="top"/>
    </xf>
    <xf numFmtId="0" fontId="46" fillId="0" borderId="0">
      <alignment vertical="top"/>
    </xf>
    <xf numFmtId="0" fontId="46" fillId="0" borderId="0"/>
    <xf numFmtId="0" fontId="46" fillId="0" borderId="0">
      <alignment vertical="top"/>
    </xf>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58"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58"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71" fillId="32" borderId="23" applyNumberFormat="0" applyAlignment="0" applyProtection="0"/>
    <xf numFmtId="0" fontId="8" fillId="0" borderId="0" applyNumberFormat="0" applyFill="0" applyBorder="0">
      <alignment horizontal="left"/>
    </xf>
    <xf numFmtId="0" fontId="72" fillId="0" borderId="0" applyNumberFormat="0" applyFill="0" applyBorder="0" applyAlignment="0" applyProtection="0"/>
    <xf numFmtId="0" fontId="73" fillId="0" borderId="24" applyNumberFormat="0" applyFill="0" applyAlignment="0" applyProtection="0"/>
    <xf numFmtId="0" fontId="3" fillId="0" borderId="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9" fontId="3"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4" fontId="3"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44" fontId="58" fillId="0" borderId="0" applyFont="0" applyFill="0" applyBorder="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58" fillId="33" borderId="22" applyNumberFormat="0" applyFont="0" applyAlignment="0" applyProtection="0"/>
    <xf numFmtId="0" fontId="8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72" fillId="0" borderId="0" applyNumberForma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44" fontId="3" fillId="0" borderId="0" applyFont="0" applyFill="0" applyBorder="0" applyAlignment="0" applyProtection="0"/>
    <xf numFmtId="9" fontId="3" fillId="0" borderId="0" applyFont="0" applyFill="0" applyBorder="0" applyAlignment="0" applyProtection="0"/>
    <xf numFmtId="0" fontId="3"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3"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33" borderId="22"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130">
    <xf numFmtId="0" fontId="0" fillId="0" borderId="0" xfId="0"/>
    <xf numFmtId="0" fontId="0" fillId="0" borderId="0" xfId="0" applyAlignment="1">
      <alignment horizontal="center"/>
    </xf>
    <xf numFmtId="0" fontId="10" fillId="0" borderId="0" xfId="0" applyFont="1"/>
    <xf numFmtId="0" fontId="3" fillId="0" borderId="0" xfId="0" applyFont="1"/>
    <xf numFmtId="0" fontId="12" fillId="0" borderId="0" xfId="0" applyFont="1"/>
    <xf numFmtId="0" fontId="0" fillId="0" borderId="4" xfId="0" applyBorder="1"/>
    <xf numFmtId="0" fontId="12" fillId="0" borderId="0" xfId="0" applyFont="1" applyAlignment="1">
      <alignment horizontal="center"/>
    </xf>
    <xf numFmtId="0" fontId="3" fillId="0" borderId="6" xfId="507" applyFont="1" applyBorder="1"/>
    <xf numFmtId="0" fontId="0" fillId="0" borderId="0" xfId="0" applyAlignment="1">
      <alignment horizontal="left"/>
    </xf>
    <xf numFmtId="164" fontId="0" fillId="0" borderId="0" xfId="0" applyNumberFormat="1" applyAlignment="1">
      <alignment horizontal="left"/>
    </xf>
    <xf numFmtId="165" fontId="0" fillId="0" borderId="0" xfId="0" applyNumberFormat="1" applyAlignment="1">
      <alignment horizontal="left"/>
    </xf>
    <xf numFmtId="0" fontId="10" fillId="0" borderId="4" xfId="0" applyFont="1" applyBorder="1"/>
    <xf numFmtId="166" fontId="0" fillId="0" borderId="0" xfId="0" applyNumberFormat="1" applyAlignment="1">
      <alignment horizontal="right"/>
    </xf>
    <xf numFmtId="0" fontId="10" fillId="0" borderId="0" xfId="0" applyFont="1" applyAlignment="1">
      <alignment horizontal="center"/>
    </xf>
    <xf numFmtId="0" fontId="3" fillId="0" borderId="0" xfId="507" applyFont="1"/>
    <xf numFmtId="0" fontId="12" fillId="0" borderId="0" xfId="0" applyFont="1" applyAlignment="1">
      <alignment horizontal="left" vertical="top" wrapText="1"/>
    </xf>
    <xf numFmtId="0" fontId="18"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vertical="top"/>
    </xf>
    <xf numFmtId="0" fontId="11" fillId="0" borderId="0" xfId="0" applyFont="1" applyAlignment="1">
      <alignment horizontal="left"/>
    </xf>
    <xf numFmtId="0" fontId="11" fillId="0" borderId="0" xfId="0" applyFont="1"/>
    <xf numFmtId="0" fontId="23" fillId="0" borderId="0" xfId="507"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22" fillId="0" borderId="0" xfId="0" applyFont="1"/>
    <xf numFmtId="0" fontId="15" fillId="0" borderId="0" xfId="0" applyFont="1"/>
    <xf numFmtId="167" fontId="3" fillId="0" borderId="0" xfId="507" applyNumberFormat="1" applyFont="1"/>
    <xf numFmtId="9" fontId="3" fillId="0" borderId="0" xfId="507" applyNumberFormat="1" applyFont="1" applyAlignment="1">
      <alignment horizontal="left"/>
    </xf>
    <xf numFmtId="168" fontId="3" fillId="0" borderId="0" xfId="507" applyNumberFormat="1" applyFont="1"/>
    <xf numFmtId="0" fontId="12" fillId="0" borderId="0" xfId="0" applyFont="1" applyAlignment="1">
      <alignment horizontal="right"/>
    </xf>
    <xf numFmtId="0" fontId="26"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0" fillId="0" borderId="1" xfId="0" applyFont="1" applyBorder="1" applyAlignment="1">
      <alignment horizontal="center" wrapText="1"/>
    </xf>
    <xf numFmtId="0" fontId="1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0" fillId="0" borderId="4" xfId="0" applyFont="1" applyBorder="1" applyAlignment="1">
      <alignment horizontal="center"/>
    </xf>
    <xf numFmtId="0" fontId="19" fillId="0" borderId="3" xfId="0" applyFont="1" applyBorder="1" applyAlignment="1">
      <alignment horizontal="left"/>
    </xf>
    <xf numFmtId="0" fontId="19" fillId="0" borderId="9" xfId="0" applyFont="1" applyBorder="1" applyAlignment="1">
      <alignment horizontal="left"/>
    </xf>
    <xf numFmtId="0" fontId="10" fillId="0" borderId="4" xfId="0" applyFont="1" applyBorder="1" applyAlignment="1">
      <alignment horizontal="right"/>
    </xf>
    <xf numFmtId="0" fontId="10" fillId="0" borderId="5" xfId="0" applyFont="1" applyBorder="1" applyAlignment="1">
      <alignment horizontal="right"/>
    </xf>
    <xf numFmtId="0" fontId="19"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2" fillId="0" borderId="11" xfId="0" applyFont="1" applyBorder="1" applyAlignment="1">
      <alignment horizontal="left"/>
    </xf>
    <xf numFmtId="0" fontId="10" fillId="0" borderId="9" xfId="0" applyFont="1" applyBorder="1"/>
    <xf numFmtId="166" fontId="0" fillId="0" borderId="0" xfId="0" applyNumberFormat="1" applyAlignment="1">
      <alignment horizontal="center"/>
    </xf>
    <xf numFmtId="0" fontId="0" fillId="0" borderId="12" xfId="0" applyBorder="1"/>
    <xf numFmtId="0" fontId="12" fillId="0" borderId="3" xfId="0" applyFont="1" applyBorder="1"/>
    <xf numFmtId="0" fontId="12" fillId="0" borderId="0" xfId="507" applyFont="1"/>
    <xf numFmtId="0" fontId="28" fillId="0" borderId="0" xfId="507" applyFont="1"/>
    <xf numFmtId="49" fontId="3" fillId="0" borderId="0" xfId="507" applyNumberFormat="1" applyFont="1"/>
    <xf numFmtId="0" fontId="26" fillId="0" borderId="0" xfId="507" applyFont="1"/>
    <xf numFmtId="168" fontId="23" fillId="0" borderId="6" xfId="507" applyNumberFormat="1" applyFont="1" applyBorder="1" applyAlignment="1">
      <alignment horizontal="left"/>
    </xf>
    <xf numFmtId="168" fontId="23" fillId="0" borderId="6" xfId="507" applyNumberFormat="1" applyFont="1" applyBorder="1" applyAlignment="1">
      <alignment horizontal="center"/>
    </xf>
    <xf numFmtId="0" fontId="3" fillId="0" borderId="8" xfId="507" applyFont="1" applyBorder="1"/>
    <xf numFmtId="0" fontId="23" fillId="0" borderId="0" xfId="507" applyFont="1" applyAlignment="1">
      <alignment horizontal="center"/>
    </xf>
    <xf numFmtId="0" fontId="22" fillId="0" borderId="9" xfId="507" applyFont="1" applyBorder="1" applyAlignment="1">
      <alignment horizontal="left" vertical="top" wrapText="1"/>
    </xf>
    <xf numFmtId="0" fontId="22" fillId="0" borderId="6" xfId="507" applyFont="1" applyBorder="1" applyAlignment="1">
      <alignment horizontal="center" vertical="top" wrapText="1"/>
    </xf>
    <xf numFmtId="0" fontId="3" fillId="0" borderId="9" xfId="507" applyFont="1" applyBorder="1"/>
    <xf numFmtId="0" fontId="3" fillId="0" borderId="10" xfId="507" applyFont="1" applyBorder="1"/>
    <xf numFmtId="0" fontId="3" fillId="0" borderId="1" xfId="507" applyFont="1" applyBorder="1"/>
    <xf numFmtId="0" fontId="23" fillId="0" borderId="2" xfId="507" applyFont="1" applyBorder="1" applyAlignment="1">
      <alignment horizontal="center"/>
    </xf>
    <xf numFmtId="0" fontId="25" fillId="0" borderId="8" xfId="507" applyFont="1" applyBorder="1" applyAlignment="1">
      <alignment horizontal="left" vertical="top" wrapText="1"/>
    </xf>
    <xf numFmtId="0" fontId="22" fillId="0" borderId="0" xfId="507" applyFont="1" applyAlignment="1">
      <alignment horizontal="center" vertical="top" wrapText="1"/>
    </xf>
    <xf numFmtId="0" fontId="3" fillId="0" borderId="12" xfId="507" applyFont="1" applyBorder="1"/>
    <xf numFmtId="0" fontId="25" fillId="0" borderId="0" xfId="507" applyFont="1" applyAlignment="1">
      <alignment horizontal="center" vertical="top" wrapText="1"/>
    </xf>
    <xf numFmtId="0" fontId="25" fillId="0" borderId="9" xfId="507" applyFont="1" applyBorder="1" applyAlignment="1">
      <alignment horizontal="left" vertical="top" wrapText="1"/>
    </xf>
    <xf numFmtId="0" fontId="3" fillId="0" borderId="2" xfId="507" applyFont="1" applyBorder="1"/>
    <xf numFmtId="0" fontId="3" fillId="0" borderId="7" xfId="507" applyFont="1" applyBorder="1"/>
    <xf numFmtId="0" fontId="22" fillId="0" borderId="0" xfId="507" applyFont="1"/>
    <xf numFmtId="0" fontId="3" fillId="0" borderId="0" xfId="507" applyFont="1" applyAlignment="1">
      <alignment horizontal="center"/>
    </xf>
    <xf numFmtId="0" fontId="11" fillId="0" borderId="6" xfId="507" applyFont="1" applyBorder="1" applyAlignment="1">
      <alignment vertical="top" wrapText="1"/>
    </xf>
    <xf numFmtId="0" fontId="12" fillId="0" borderId="0" xfId="0" applyFont="1" applyAlignment="1">
      <alignment horizontal="left" vertical="top"/>
    </xf>
    <xf numFmtId="0" fontId="0" fillId="2" borderId="2" xfId="0" applyFill="1" applyBorder="1"/>
    <xf numFmtId="0" fontId="0" fillId="2" borderId="7" xfId="0" applyFill="1" applyBorder="1"/>
    <xf numFmtId="0" fontId="10" fillId="0" borderId="6" xfId="0" applyFont="1" applyBorder="1" applyAlignment="1">
      <alignment horizontal="right"/>
    </xf>
    <xf numFmtId="0" fontId="9" fillId="0" borderId="0" xfId="0" applyFont="1" applyAlignment="1">
      <alignment horizontal="center" vertical="center"/>
    </xf>
    <xf numFmtId="0" fontId="10" fillId="0" borderId="0" xfId="0" applyFont="1" applyAlignment="1">
      <alignment vertical="top"/>
    </xf>
    <xf numFmtId="165" fontId="0" fillId="0" borderId="0" xfId="0" applyNumberFormat="1" applyAlignment="1">
      <alignment horizontal="right"/>
    </xf>
    <xf numFmtId="0" fontId="33" fillId="0" borderId="0" xfId="0" applyFont="1"/>
    <xf numFmtId="0" fontId="20" fillId="0" borderId="0" xfId="0" applyFont="1"/>
    <xf numFmtId="0" fontId="4" fillId="0" borderId="0" xfId="211"/>
    <xf numFmtId="0" fontId="4" fillId="0" borderId="0" xfId="211" applyAlignment="1">
      <alignment horizontal="center" vertical="center"/>
    </xf>
    <xf numFmtId="0" fontId="3" fillId="0" borderId="3" xfId="507" applyFont="1" applyBorder="1"/>
    <xf numFmtId="0" fontId="25" fillId="0" borderId="4" xfId="507" applyFont="1" applyBorder="1" applyAlignment="1">
      <alignment horizontal="right" vertical="top" wrapText="1"/>
    </xf>
    <xf numFmtId="0" fontId="12" fillId="0" borderId="6" xfId="0" applyFont="1" applyBorder="1"/>
    <xf numFmtId="0" fontId="12" fillId="0" borderId="2" xfId="0" applyFont="1" applyBorder="1"/>
    <xf numFmtId="0" fontId="12" fillId="0" borderId="7" xfId="0" applyFont="1" applyBorder="1"/>
    <xf numFmtId="0" fontId="12" fillId="0" borderId="12" xfId="0" applyFont="1" applyBorder="1"/>
    <xf numFmtId="0" fontId="12" fillId="0" borderId="9" xfId="0" applyFont="1" applyBorder="1"/>
    <xf numFmtId="0" fontId="12" fillId="0" borderId="10" xfId="0" applyFont="1" applyBorder="1"/>
    <xf numFmtId="0" fontId="17" fillId="0" borderId="6" xfId="0" applyFont="1" applyBorder="1" applyAlignment="1">
      <alignment vertical="top" wrapText="1"/>
    </xf>
    <xf numFmtId="0" fontId="17" fillId="0" borderId="5" xfId="0" applyFont="1" applyBorder="1" applyAlignment="1">
      <alignment vertical="top" wrapText="1"/>
    </xf>
    <xf numFmtId="0" fontId="17" fillId="0" borderId="4" xfId="0" applyFont="1" applyBorder="1" applyAlignment="1">
      <alignment vertical="top" wrapText="1"/>
    </xf>
    <xf numFmtId="0" fontId="17" fillId="2" borderId="6" xfId="0" applyFont="1" applyFill="1" applyBorder="1" applyAlignment="1">
      <alignment vertical="top" wrapText="1"/>
    </xf>
    <xf numFmtId="0" fontId="0" fillId="0" borderId="8" xfId="0" applyBorder="1"/>
    <xf numFmtId="0" fontId="10" fillId="0" borderId="2" xfId="0" applyFont="1" applyBorder="1"/>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xf>
    <xf numFmtId="0" fontId="3" fillId="0" borderId="0" xfId="0" applyFont="1" applyAlignment="1">
      <alignment vertical="top"/>
    </xf>
    <xf numFmtId="0" fontId="32" fillId="0" borderId="0" xfId="0" applyFont="1"/>
    <xf numFmtId="0" fontId="3" fillId="0" borderId="3" xfId="0" applyFont="1" applyBorder="1"/>
    <xf numFmtId="0" fontId="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17" fillId="3" borderId="4" xfId="0" applyFont="1" applyFill="1" applyBorder="1" applyAlignment="1">
      <alignment vertical="top" wrapText="1"/>
    </xf>
    <xf numFmtId="0" fontId="17" fillId="3" borderId="5" xfId="0" applyFont="1" applyFill="1" applyBorder="1" applyAlignment="1">
      <alignment vertical="top" wrapText="1"/>
    </xf>
    <xf numFmtId="0" fontId="35" fillId="0" borderId="0" xfId="0" applyFont="1"/>
    <xf numFmtId="0" fontId="12" fillId="0" borderId="4" xfId="0" applyFont="1" applyBorder="1"/>
    <xf numFmtId="0" fontId="10" fillId="0" borderId="2" xfId="0" applyFont="1" applyBorder="1" applyAlignment="1">
      <alignment horizontal="center"/>
    </xf>
    <xf numFmtId="0" fontId="10" fillId="0" borderId="0" xfId="0" applyFont="1" applyAlignment="1">
      <alignment horizontal="center" vertical="center" wrapText="1"/>
    </xf>
    <xf numFmtId="0" fontId="10" fillId="0" borderId="7" xfId="507" applyFont="1" applyBorder="1" applyAlignment="1">
      <alignment horizontal="right"/>
    </xf>
    <xf numFmtId="0" fontId="11" fillId="0" borderId="9" xfId="507" applyFont="1" applyBorder="1"/>
    <xf numFmtId="0" fontId="12" fillId="0" borderId="6" xfId="507" applyFont="1" applyBorder="1"/>
    <xf numFmtId="0" fontId="11" fillId="0" borderId="6" xfId="507" applyFont="1" applyBorder="1" applyAlignment="1">
      <alignment horizontal="right"/>
    </xf>
    <xf numFmtId="0" fontId="10" fillId="0" borderId="0" xfId="0" applyFont="1" applyAlignment="1">
      <alignment horizontal="center" vertical="center"/>
    </xf>
    <xf numFmtId="0" fontId="12" fillId="0" borderId="0" xfId="0" applyFont="1" applyAlignment="1">
      <alignment horizontal="left" vertical="center"/>
    </xf>
    <xf numFmtId="0" fontId="39" fillId="0" borderId="3" xfId="0" applyFont="1" applyBorder="1" applyAlignment="1">
      <alignment horizontal="left" vertical="top"/>
    </xf>
    <xf numFmtId="0" fontId="39" fillId="0" borderId="13" xfId="0" applyFont="1" applyBorder="1" applyAlignment="1">
      <alignment horizontal="center" wrapText="1"/>
    </xf>
    <xf numFmtId="0" fontId="39" fillId="0" borderId="13" xfId="0" applyFont="1" applyBorder="1" applyAlignment="1">
      <alignment horizontal="center" vertical="top" wrapText="1"/>
    </xf>
    <xf numFmtId="0" fontId="39" fillId="2" borderId="13" xfId="0" applyFont="1" applyFill="1" applyBorder="1" applyAlignment="1">
      <alignment horizontal="center" wrapText="1"/>
    </xf>
    <xf numFmtId="0" fontId="40" fillId="2" borderId="11" xfId="0" applyFont="1" applyFill="1" applyBorder="1" applyAlignment="1">
      <alignment horizontal="left" vertical="top" wrapText="1"/>
    </xf>
    <xf numFmtId="0" fontId="41" fillId="4" borderId="11" xfId="0" applyFont="1" applyFill="1" applyBorder="1" applyAlignment="1">
      <alignment vertical="top" wrapText="1"/>
    </xf>
    <xf numFmtId="0" fontId="41" fillId="2" borderId="11" xfId="0" applyFont="1" applyFill="1" applyBorder="1" applyAlignment="1">
      <alignment vertical="top" wrapText="1"/>
    </xf>
    <xf numFmtId="0" fontId="41" fillId="0" borderId="11" xfId="0" applyFont="1" applyBorder="1" applyAlignment="1">
      <alignment vertical="top" wrapText="1"/>
    </xf>
    <xf numFmtId="0" fontId="41" fillId="0" borderId="11" xfId="0" applyFont="1" applyBorder="1" applyAlignment="1">
      <alignment horizontal="right" vertical="top" wrapText="1"/>
    </xf>
    <xf numFmtId="168" fontId="41" fillId="0" borderId="11" xfId="0" applyNumberFormat="1" applyFont="1" applyBorder="1" applyAlignment="1">
      <alignment vertical="top" wrapText="1"/>
    </xf>
    <xf numFmtId="168" fontId="41" fillId="5" borderId="11" xfId="0" applyNumberFormat="1" applyFont="1" applyFill="1" applyBorder="1" applyAlignment="1" applyProtection="1">
      <alignment vertical="top" wrapText="1"/>
      <protection locked="0"/>
    </xf>
    <xf numFmtId="168" fontId="41" fillId="6" borderId="11" xfId="0" applyNumberFormat="1" applyFont="1" applyFill="1" applyBorder="1" applyAlignment="1">
      <alignment horizontal="center" vertical="top" wrapText="1"/>
    </xf>
    <xf numFmtId="0" fontId="39" fillId="0" borderId="11" xfId="0" applyFont="1" applyBorder="1" applyAlignment="1">
      <alignment horizontal="right" vertical="top" wrapText="1"/>
    </xf>
    <xf numFmtId="168" fontId="39" fillId="0" borderId="11" xfId="0" applyNumberFormat="1" applyFont="1" applyBorder="1" applyAlignment="1">
      <alignment vertical="top" wrapText="1"/>
    </xf>
    <xf numFmtId="168" fontId="41" fillId="4" borderId="11" xfId="0" applyNumberFormat="1" applyFont="1" applyFill="1" applyBorder="1" applyAlignment="1">
      <alignment vertical="top" wrapText="1"/>
    </xf>
    <xf numFmtId="0" fontId="39" fillId="2" borderId="11" xfId="0" applyFont="1" applyFill="1" applyBorder="1" applyAlignment="1">
      <alignment vertical="top" wrapText="1"/>
    </xf>
    <xf numFmtId="0" fontId="39" fillId="0" borderId="11" xfId="0" applyFont="1" applyBorder="1" applyAlignment="1">
      <alignment vertical="top" wrapText="1"/>
    </xf>
    <xf numFmtId="0" fontId="6" fillId="0" borderId="11" xfId="0" applyFont="1" applyBorder="1" applyAlignment="1">
      <alignment horizontal="right" vertical="top" wrapText="1"/>
    </xf>
    <xf numFmtId="0" fontId="41" fillId="0" borderId="11" xfId="0" applyFont="1" applyBorder="1" applyAlignment="1" applyProtection="1">
      <alignment horizontal="right" vertical="top" wrapText="1"/>
      <protection locked="0"/>
    </xf>
    <xf numFmtId="0" fontId="39" fillId="0" borderId="0" xfId="0" applyFont="1" applyAlignment="1">
      <alignment horizontal="left" vertical="top"/>
    </xf>
    <xf numFmtId="0" fontId="41" fillId="0" borderId="0" xfId="0" applyFont="1" applyAlignment="1">
      <alignment horizontal="left" vertical="top"/>
    </xf>
    <xf numFmtId="0" fontId="41" fillId="0" borderId="0" xfId="0" applyFont="1" applyAlignment="1">
      <alignment vertical="top" wrapText="1"/>
    </xf>
    <xf numFmtId="0" fontId="41" fillId="0" borderId="0" xfId="0" applyFont="1" applyAlignment="1">
      <alignment vertical="top"/>
    </xf>
    <xf numFmtId="0" fontId="39" fillId="0" borderId="0" xfId="0" applyFont="1" applyAlignment="1">
      <alignment horizontal="right" vertical="top"/>
    </xf>
    <xf numFmtId="0" fontId="41" fillId="2" borderId="0" xfId="0" applyFont="1" applyFill="1" applyAlignment="1">
      <alignment vertical="top" wrapText="1"/>
    </xf>
    <xf numFmtId="0" fontId="39" fillId="0" borderId="0" xfId="0" applyFont="1" applyAlignment="1">
      <alignment vertical="top"/>
    </xf>
    <xf numFmtId="165" fontId="12" fillId="0" borderId="0" xfId="0" applyNumberFormat="1" applyFont="1" applyAlignment="1">
      <alignment horizontal="left"/>
    </xf>
    <xf numFmtId="0" fontId="42" fillId="0" borderId="0" xfId="0" applyFont="1"/>
    <xf numFmtId="0" fontId="3" fillId="0" borderId="0" xfId="211" applyFont="1" applyAlignment="1">
      <alignment horizontal="left"/>
    </xf>
    <xf numFmtId="0" fontId="34" fillId="0" borderId="0" xfId="0" applyFont="1"/>
    <xf numFmtId="0" fontId="34" fillId="0" borderId="0" xfId="211" applyFont="1" applyAlignment="1">
      <alignment horizontal="left"/>
    </xf>
    <xf numFmtId="0" fontId="9" fillId="3" borderId="11" xfId="0" applyFont="1" applyFill="1" applyBorder="1" applyAlignment="1">
      <alignment vertical="top"/>
    </xf>
    <xf numFmtId="0" fontId="0" fillId="7" borderId="0" xfId="0" applyFill="1"/>
    <xf numFmtId="0" fontId="23" fillId="0" borderId="0" xfId="0" applyFont="1"/>
    <xf numFmtId="0" fontId="44" fillId="0" borderId="0" xfId="0" applyFont="1"/>
    <xf numFmtId="0" fontId="21" fillId="0" borderId="0" xfId="0" applyFont="1" applyAlignment="1">
      <alignment horizontal="center"/>
    </xf>
    <xf numFmtId="0" fontId="21" fillId="0" borderId="0" xfId="0" applyFont="1" applyAlignment="1">
      <alignment horizontal="left"/>
    </xf>
    <xf numFmtId="49" fontId="10" fillId="0" borderId="0" xfId="0" applyNumberFormat="1" applyFont="1" applyAlignment="1">
      <alignment horizontal="center"/>
    </xf>
    <xf numFmtId="0" fontId="37" fillId="0" borderId="0" xfId="0" applyFont="1" applyAlignment="1">
      <alignment horizontal="center"/>
    </xf>
    <xf numFmtId="168" fontId="12" fillId="0" borderId="0" xfId="0" applyNumberFormat="1" applyFont="1" applyAlignment="1">
      <alignment horizontal="center"/>
    </xf>
    <xf numFmtId="168" fontId="22" fillId="0" borderId="0" xfId="0" applyNumberFormat="1" applyFont="1" applyAlignment="1">
      <alignment horizontal="left" vertical="top" wrapText="1"/>
    </xf>
    <xf numFmtId="0" fontId="38" fillId="0" borderId="3" xfId="0" applyFont="1" applyBorder="1"/>
    <xf numFmtId="168" fontId="0" fillId="0" borderId="0" xfId="0" applyNumberFormat="1" applyAlignment="1">
      <alignment horizontal="center"/>
    </xf>
    <xf numFmtId="0" fontId="23" fillId="0" borderId="0" xfId="0" applyFont="1" applyAlignment="1">
      <alignment vertical="top" wrapText="1"/>
    </xf>
    <xf numFmtId="0" fontId="39" fillId="0" borderId="4" xfId="0" applyFont="1" applyBorder="1" applyAlignment="1">
      <alignment horizontal="right"/>
    </xf>
    <xf numFmtId="0" fontId="46" fillId="0" borderId="0" xfId="0" applyFont="1"/>
    <xf numFmtId="3" fontId="12" fillId="0" borderId="0" xfId="0" applyNumberFormat="1" applyFont="1" applyAlignment="1">
      <alignment horizontal="center"/>
    </xf>
    <xf numFmtId="168" fontId="3" fillId="0" borderId="0" xfId="0" applyNumberFormat="1" applyFont="1" applyAlignment="1">
      <alignment horizontal="left" vertical="top"/>
    </xf>
    <xf numFmtId="168" fontId="12" fillId="0" borderId="0" xfId="0" applyNumberFormat="1" applyFont="1" applyAlignment="1">
      <alignment horizontal="left" vertical="top"/>
    </xf>
    <xf numFmtId="0" fontId="41" fillId="0" borderId="11" xfId="0" applyFont="1" applyBorder="1" applyAlignment="1">
      <alignment horizontal="right" vertical="top"/>
    </xf>
    <xf numFmtId="0" fontId="41" fillId="0" borderId="0" xfId="0" applyFont="1" applyAlignment="1">
      <alignment horizontal="right" vertical="top" wrapText="1"/>
    </xf>
    <xf numFmtId="0" fontId="41" fillId="2" borderId="12" xfId="0" applyFont="1" applyFill="1" applyBorder="1" applyAlignment="1">
      <alignment vertical="top" wrapText="1"/>
    </xf>
    <xf numFmtId="0" fontId="41" fillId="0" borderId="14" xfId="0" applyFont="1" applyBorder="1" applyAlignment="1">
      <alignment vertical="top" wrapText="1"/>
    </xf>
    <xf numFmtId="168" fontId="41" fillId="5" borderId="11" xfId="0" applyNumberFormat="1" applyFont="1" applyFill="1" applyBorder="1" applyAlignment="1" applyProtection="1">
      <alignment vertical="top"/>
      <protection locked="0"/>
    </xf>
    <xf numFmtId="0" fontId="41" fillId="2" borderId="11" xfId="0" applyFont="1" applyFill="1" applyBorder="1" applyAlignment="1" applyProtection="1">
      <alignment vertical="top"/>
      <protection locked="0"/>
    </xf>
    <xf numFmtId="0" fontId="41" fillId="0" borderId="11" xfId="0" applyFont="1" applyBorder="1" applyAlignment="1" applyProtection="1">
      <alignment vertical="top"/>
      <protection locked="0"/>
    </xf>
    <xf numFmtId="168" fontId="41" fillId="0" borderId="11" xfId="0" applyNumberFormat="1" applyFont="1" applyBorder="1" applyAlignment="1">
      <alignment vertical="top"/>
    </xf>
    <xf numFmtId="168" fontId="41" fillId="6" borderId="11" xfId="0" applyNumberFormat="1" applyFont="1" applyFill="1" applyBorder="1" applyAlignment="1">
      <alignment horizontal="center" vertical="top"/>
    </xf>
    <xf numFmtId="0" fontId="10" fillId="0" borderId="0" xfId="506" applyFont="1" applyProtection="1">
      <protection locked="0"/>
    </xf>
    <xf numFmtId="0" fontId="3" fillId="0" borderId="0" xfId="503" applyFont="1" applyProtection="1"/>
    <xf numFmtId="0" fontId="23" fillId="8" borderId="0" xfId="503" applyFont="1" applyFill="1" applyAlignment="1" applyProtection="1">
      <alignment horizontal="centerContinuous"/>
    </xf>
    <xf numFmtId="0" fontId="10" fillId="0" borderId="0" xfId="507" applyFont="1"/>
    <xf numFmtId="0" fontId="12" fillId="0" borderId="0" xfId="507" applyFont="1" applyAlignment="1">
      <alignment horizontal="left"/>
    </xf>
    <xf numFmtId="0" fontId="12" fillId="0" borderId="15" xfId="0" applyFont="1" applyBorder="1"/>
    <xf numFmtId="2" fontId="26" fillId="0" borderId="11" xfId="0" applyNumberFormat="1" applyFont="1" applyBorder="1"/>
    <xf numFmtId="0" fontId="3" fillId="0" borderId="0" xfId="0" applyFont="1" applyProtection="1">
      <protection locked="0"/>
    </xf>
    <xf numFmtId="0" fontId="49" fillId="0" borderId="0" xfId="0" applyFont="1" applyAlignment="1">
      <alignment horizontal="center"/>
    </xf>
    <xf numFmtId="0" fontId="12" fillId="0" borderId="0" xfId="235" applyFont="1"/>
    <xf numFmtId="0" fontId="10" fillId="0" borderId="0" xfId="235" applyFont="1"/>
    <xf numFmtId="0" fontId="12" fillId="0" borderId="0" xfId="235" applyFont="1" applyAlignment="1">
      <alignment horizontal="left"/>
    </xf>
    <xf numFmtId="168" fontId="10" fillId="0" borderId="2" xfId="507" applyNumberFormat="1" applyFont="1" applyBorder="1" applyAlignment="1">
      <alignment horizontal="center" vertical="center"/>
    </xf>
    <xf numFmtId="0" fontId="25" fillId="0" borderId="0" xfId="507" applyFont="1" applyAlignment="1">
      <alignment horizontal="right" vertical="top" wrapText="1"/>
    </xf>
    <xf numFmtId="0" fontId="23" fillId="0" borderId="2" xfId="507" applyFont="1" applyBorder="1" applyAlignment="1">
      <alignment horizontal="right" vertical="top" wrapText="1"/>
    </xf>
    <xf numFmtId="0" fontId="8" fillId="0" borderId="0" xfId="0" applyFont="1"/>
    <xf numFmtId="0" fontId="51" fillId="0" borderId="0" xfId="0" applyFont="1"/>
    <xf numFmtId="0" fontId="49" fillId="0" borderId="0" xfId="0" applyFont="1"/>
    <xf numFmtId="0" fontId="23" fillId="0" borderId="0" xfId="507" applyFont="1" applyAlignment="1">
      <alignment horizontal="right" vertical="top" wrapText="1"/>
    </xf>
    <xf numFmtId="10" fontId="0" fillId="0" borderId="0" xfId="0" applyNumberFormat="1" applyAlignment="1">
      <alignment horizontal="center"/>
    </xf>
    <xf numFmtId="3" fontId="0" fillId="0" borderId="0" xfId="0" applyNumberFormat="1"/>
    <xf numFmtId="168" fontId="10" fillId="0" borderId="0" xfId="0" applyNumberFormat="1" applyFont="1" applyAlignment="1">
      <alignment horizontal="center"/>
    </xf>
    <xf numFmtId="3" fontId="12" fillId="0" borderId="0" xfId="0" applyNumberFormat="1" applyFont="1"/>
    <xf numFmtId="0" fontId="50" fillId="0" borderId="0" xfId="0" applyFont="1"/>
    <xf numFmtId="168" fontId="8" fillId="0" borderId="0" xfId="0" applyNumberFormat="1" applyFont="1"/>
    <xf numFmtId="10" fontId="8" fillId="0" borderId="0" xfId="0" applyNumberFormat="1" applyFont="1" applyAlignment="1">
      <alignment horizontal="center"/>
    </xf>
    <xf numFmtId="3" fontId="53" fillId="0" borderId="0" xfId="0" applyNumberFormat="1" applyFont="1"/>
    <xf numFmtId="3" fontId="8" fillId="0" borderId="0" xfId="0" applyNumberFormat="1" applyFont="1"/>
    <xf numFmtId="168" fontId="50" fillId="0" borderId="0" xfId="0" applyNumberFormat="1" applyFont="1"/>
    <xf numFmtId="168" fontId="50" fillId="0" borderId="0" xfId="0" applyNumberFormat="1" applyFont="1" applyAlignment="1">
      <alignment horizontal="center"/>
    </xf>
    <xf numFmtId="0" fontId="8" fillId="5" borderId="0" xfId="0" applyFont="1" applyFill="1" applyAlignment="1">
      <alignment horizontal="left"/>
    </xf>
    <xf numFmtId="0" fontId="8" fillId="5" borderId="0" xfId="0" applyFont="1" applyFill="1"/>
    <xf numFmtId="10" fontId="8" fillId="0" borderId="0" xfId="0" applyNumberFormat="1" applyFont="1"/>
    <xf numFmtId="167" fontId="8" fillId="0" borderId="0" xfId="0" applyNumberFormat="1" applyFont="1"/>
    <xf numFmtId="167" fontId="8" fillId="0" borderId="0" xfId="0" applyNumberFormat="1" applyFont="1" applyAlignment="1">
      <alignment horizontal="center"/>
    </xf>
    <xf numFmtId="0" fontId="8" fillId="0" borderId="6" xfId="0" applyFont="1" applyBorder="1"/>
    <xf numFmtId="10" fontId="8" fillId="0" borderId="6" xfId="0" applyNumberFormat="1" applyFont="1" applyBorder="1" applyAlignment="1">
      <alignment horizontal="center"/>
    </xf>
    <xf numFmtId="3" fontId="8" fillId="0" borderId="6" xfId="0" applyNumberFormat="1" applyFont="1" applyBorder="1"/>
    <xf numFmtId="10" fontId="12" fillId="0" borderId="0" xfId="0" applyNumberFormat="1" applyFont="1" applyAlignment="1">
      <alignment horizontal="center"/>
    </xf>
    <xf numFmtId="3" fontId="12" fillId="0" borderId="0" xfId="0" applyNumberFormat="1" applyFont="1" applyAlignment="1">
      <alignment vertical="top"/>
    </xf>
    <xf numFmtId="10" fontId="10" fillId="0" borderId="0" xfId="0" applyNumberFormat="1" applyFont="1" applyAlignment="1">
      <alignment horizontal="center"/>
    </xf>
    <xf numFmtId="0" fontId="49" fillId="0" borderId="6" xfId="0" applyFont="1" applyBorder="1" applyAlignment="1">
      <alignment horizontal="center"/>
    </xf>
    <xf numFmtId="167" fontId="12" fillId="0" borderId="0" xfId="0" applyNumberFormat="1" applyFont="1" applyAlignment="1">
      <alignment horizontal="center"/>
    </xf>
    <xf numFmtId="10" fontId="54" fillId="0" borderId="0" xfId="0" applyNumberFormat="1" applyFont="1" applyAlignment="1">
      <alignment horizontal="center"/>
    </xf>
    <xf numFmtId="0" fontId="12" fillId="9" borderId="6" xfId="0" applyFont="1" applyFill="1" applyBorder="1"/>
    <xf numFmtId="0" fontId="12" fillId="0" borderId="4" xfId="235" applyFont="1" applyBorder="1"/>
    <xf numFmtId="0" fontId="12" fillId="0" borderId="6" xfId="235" applyFont="1" applyBorder="1"/>
    <xf numFmtId="0" fontId="12" fillId="0" borderId="1" xfId="0" applyFont="1" applyBorder="1"/>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4" fontId="37" fillId="0" borderId="0" xfId="0" applyNumberFormat="1" applyFont="1" applyAlignment="1">
      <alignment horizontal="center"/>
    </xf>
    <xf numFmtId="0" fontId="22" fillId="0" borderId="1" xfId="507" applyFont="1" applyBorder="1" applyAlignment="1">
      <alignment horizontal="left" vertical="top" wrapText="1"/>
    </xf>
    <xf numFmtId="0" fontId="22" fillId="0" borderId="12" xfId="507" applyFont="1" applyBorder="1" applyAlignment="1">
      <alignment horizontal="center" vertical="top" wrapText="1"/>
    </xf>
    <xf numFmtId="0" fontId="22" fillId="0" borderId="8" xfId="507" applyFont="1" applyBorder="1" applyAlignment="1">
      <alignment horizontal="left" vertical="top" wrapText="1"/>
    </xf>
    <xf numFmtId="0" fontId="17" fillId="3" borderId="4" xfId="235" applyFont="1" applyFill="1" applyBorder="1" applyAlignment="1">
      <alignment vertical="top" wrapText="1"/>
    </xf>
    <xf numFmtId="0" fontId="9" fillId="3" borderId="11" xfId="235" applyFont="1" applyFill="1" applyBorder="1" applyAlignment="1">
      <alignment vertical="top"/>
    </xf>
    <xf numFmtId="0" fontId="10" fillId="0" borderId="9" xfId="235" applyFont="1" applyBorder="1" applyAlignment="1">
      <alignment horizontal="center" wrapText="1"/>
    </xf>
    <xf numFmtId="0" fontId="17" fillId="3" borderId="4" xfId="235" applyFont="1" applyFill="1" applyBorder="1" applyAlignment="1" applyProtection="1">
      <alignment vertical="top" wrapText="1"/>
      <protection locked="0"/>
    </xf>
    <xf numFmtId="0" fontId="17" fillId="3" borderId="5" xfId="235" applyFont="1" applyFill="1" applyBorder="1" applyAlignment="1" applyProtection="1">
      <alignment vertical="top" wrapText="1"/>
      <protection locked="0"/>
    </xf>
    <xf numFmtId="0" fontId="10" fillId="0" borderId="13" xfId="235" applyFont="1" applyBorder="1" applyAlignment="1">
      <alignment horizontal="center" wrapText="1"/>
    </xf>
    <xf numFmtId="0" fontId="35" fillId="2" borderId="11" xfId="235" applyFont="1" applyFill="1" applyBorder="1" applyAlignment="1">
      <alignment horizontal="left" vertical="top" wrapText="1"/>
    </xf>
    <xf numFmtId="0" fontId="12" fillId="0" borderId="11" xfId="235" applyFont="1" applyBorder="1" applyAlignment="1" applyProtection="1">
      <alignment vertical="top" wrapText="1"/>
      <protection locked="0"/>
    </xf>
    <xf numFmtId="168" fontId="12" fillId="5" borderId="11" xfId="235" applyNumberFormat="1" applyFont="1" applyFill="1" applyBorder="1" applyAlignment="1" applyProtection="1">
      <alignment vertical="top" wrapText="1"/>
      <protection locked="0"/>
    </xf>
    <xf numFmtId="0" fontId="12" fillId="5" borderId="3" xfId="235" applyFont="1" applyFill="1" applyBorder="1" applyAlignment="1" applyProtection="1">
      <alignment vertical="top" wrapText="1"/>
      <protection locked="0"/>
    </xf>
    <xf numFmtId="0" fontId="12" fillId="5" borderId="11" xfId="235" applyFont="1" applyFill="1" applyBorder="1" applyAlignment="1" applyProtection="1">
      <alignment vertical="top" wrapText="1"/>
      <protection locked="0"/>
    </xf>
    <xf numFmtId="0" fontId="12" fillId="0" borderId="11" xfId="235" applyFont="1" applyBorder="1" applyAlignment="1">
      <alignment horizontal="right" vertical="top" wrapText="1"/>
    </xf>
    <xf numFmtId="168" fontId="12" fillId="0" borderId="11" xfId="235" applyNumberFormat="1" applyFont="1" applyBorder="1" applyAlignment="1">
      <alignment vertical="top" wrapText="1"/>
    </xf>
    <xf numFmtId="0" fontId="10" fillId="0" borderId="11" xfId="235" applyFont="1" applyBorder="1" applyAlignment="1">
      <alignment horizontal="right" vertical="top" wrapText="1"/>
    </xf>
    <xf numFmtId="0" fontId="12" fillId="5" borderId="11" xfId="235" applyFont="1" applyFill="1" applyBorder="1" applyAlignment="1" applyProtection="1">
      <alignment horizontal="right" vertical="top" wrapText="1"/>
      <protection locked="0"/>
    </xf>
    <xf numFmtId="168" fontId="10" fillId="0" borderId="11" xfId="235" applyNumberFormat="1" applyFont="1" applyBorder="1" applyAlignment="1">
      <alignment vertical="top" wrapText="1"/>
    </xf>
    <xf numFmtId="0" fontId="20" fillId="0" borderId="11" xfId="235" applyFont="1" applyBorder="1" applyAlignment="1">
      <alignment horizontal="right" vertical="top" wrapText="1"/>
    </xf>
    <xf numFmtId="0" fontId="17" fillId="0" borderId="0" xfId="235" applyFont="1" applyAlignment="1" applyProtection="1">
      <alignment vertical="top" wrapText="1"/>
      <protection locked="0"/>
    </xf>
    <xf numFmtId="0" fontId="12" fillId="0" borderId="5" xfId="235" applyFont="1" applyBorder="1" applyAlignment="1" applyProtection="1">
      <alignment vertical="top" wrapText="1"/>
      <protection locked="0"/>
    </xf>
    <xf numFmtId="0" fontId="10" fillId="0" borderId="3" xfId="235" applyFont="1" applyBorder="1" applyAlignment="1">
      <alignment horizontal="left" vertical="top"/>
    </xf>
    <xf numFmtId="0" fontId="12" fillId="0" borderId="4" xfId="235" applyFont="1" applyBorder="1" applyAlignment="1" applyProtection="1">
      <alignment horizontal="left" vertical="top"/>
      <protection locked="0"/>
    </xf>
    <xf numFmtId="0" fontId="12" fillId="0" borderId="4" xfId="235" applyFont="1" applyBorder="1" applyAlignment="1" applyProtection="1">
      <alignment vertical="top" wrapText="1"/>
      <protection locked="0"/>
    </xf>
    <xf numFmtId="0" fontId="17" fillId="0" borderId="0" xfId="235" applyFont="1" applyAlignment="1">
      <alignment vertical="top" wrapText="1"/>
    </xf>
    <xf numFmtId="0" fontId="12" fillId="0" borderId="4" xfId="235" applyFont="1" applyBorder="1" applyAlignment="1">
      <alignment vertical="top" wrapText="1"/>
    </xf>
    <xf numFmtId="0" fontId="35" fillId="2" borderId="11" xfId="235" applyFont="1" applyFill="1" applyBorder="1" applyAlignment="1" applyProtection="1">
      <alignment horizontal="left" vertical="top" wrapText="1"/>
      <protection locked="0"/>
    </xf>
    <xf numFmtId="0" fontId="38" fillId="0" borderId="11" xfId="0" applyFont="1" applyBorder="1" applyAlignment="1">
      <alignment horizontal="right" vertical="top" wrapText="1"/>
    </xf>
    <xf numFmtId="0" fontId="12" fillId="8" borderId="0" xfId="506" quotePrefix="1" applyFont="1" applyFill="1" applyAlignment="1">
      <alignment horizontal="left"/>
    </xf>
    <xf numFmtId="0" fontId="12" fillId="8" borderId="0" xfId="506" applyFont="1" applyFill="1"/>
    <xf numFmtId="0" fontId="20" fillId="8" borderId="0" xfId="506" applyFont="1" applyFill="1"/>
    <xf numFmtId="0" fontId="38" fillId="0" borderId="11" xfId="235" applyFont="1" applyBorder="1" applyAlignment="1">
      <alignment horizontal="right" vertical="top"/>
    </xf>
    <xf numFmtId="0" fontId="38" fillId="0" borderId="11" xfId="235" applyFont="1" applyBorder="1" applyAlignment="1">
      <alignment horizontal="right" vertical="top" wrapText="1"/>
    </xf>
    <xf numFmtId="0" fontId="12" fillId="0" borderId="0" xfId="235" applyFont="1" applyAlignment="1">
      <alignment horizontal="left" vertical="top"/>
    </xf>
    <xf numFmtId="0" fontId="10" fillId="0" borderId="0" xfId="235" applyFont="1" applyAlignment="1">
      <alignment horizontal="right"/>
    </xf>
    <xf numFmtId="0" fontId="11" fillId="0" borderId="0" xfId="235" applyFont="1" applyAlignment="1">
      <alignment horizontal="center"/>
    </xf>
    <xf numFmtId="5" fontId="12" fillId="0" borderId="0" xfId="506" applyNumberFormat="1" applyFont="1"/>
    <xf numFmtId="1" fontId="12" fillId="0" borderId="15" xfId="235" applyNumberFormat="1" applyFont="1" applyBorder="1"/>
    <xf numFmtId="1" fontId="12" fillId="0" borderId="14" xfId="235" applyNumberFormat="1" applyFont="1" applyBorder="1"/>
    <xf numFmtId="0" fontId="11" fillId="0" borderId="6" xfId="235" applyFont="1" applyBorder="1" applyAlignment="1">
      <alignment horizontal="left"/>
    </xf>
    <xf numFmtId="0" fontId="11" fillId="0" borderId="6" xfId="235" applyFont="1" applyBorder="1" applyAlignment="1">
      <alignment horizontal="right"/>
    </xf>
    <xf numFmtId="169" fontId="12" fillId="0" borderId="0" xfId="235" applyNumberFormat="1" applyFont="1"/>
    <xf numFmtId="170" fontId="12" fillId="0" borderId="14" xfId="235" applyNumberFormat="1" applyFont="1" applyBorder="1"/>
    <xf numFmtId="1" fontId="10" fillId="0" borderId="11" xfId="235" applyNumberFormat="1" applyFont="1" applyBorder="1"/>
    <xf numFmtId="169" fontId="10" fillId="0" borderId="11" xfId="235" applyNumberFormat="1" applyFont="1" applyBorder="1"/>
    <xf numFmtId="3" fontId="41" fillId="0" borderId="11" xfId="0" applyNumberFormat="1" applyFont="1" applyBorder="1" applyAlignment="1">
      <alignment vertical="top" wrapText="1"/>
    </xf>
    <xf numFmtId="165" fontId="12" fillId="0" borderId="0" xfId="0" applyNumberFormat="1" applyFont="1"/>
    <xf numFmtId="0" fontId="0" fillId="0" borderId="0" xfId="0" applyProtection="1">
      <protection locked="0"/>
    </xf>
    <xf numFmtId="0" fontId="8" fillId="0" borderId="0" xfId="0" applyFont="1" applyProtection="1">
      <protection locked="0"/>
    </xf>
    <xf numFmtId="0" fontId="8" fillId="0" borderId="0" xfId="235" applyFont="1" applyProtection="1">
      <protection locked="0"/>
    </xf>
    <xf numFmtId="168" fontId="8" fillId="0" borderId="0" xfId="235" applyNumberFormat="1" applyFont="1" applyProtection="1">
      <protection locked="0"/>
    </xf>
    <xf numFmtId="0" fontId="16" fillId="0" borderId="1" xfId="0" applyFont="1" applyBorder="1"/>
    <xf numFmtId="0" fontId="3" fillId="0" borderId="2" xfId="0" applyFont="1" applyBorder="1" applyAlignment="1">
      <alignment horizontal="left"/>
    </xf>
    <xf numFmtId="0" fontId="3" fillId="0" borderId="2" xfId="0" applyFont="1" applyBorder="1"/>
    <xf numFmtId="0" fontId="16" fillId="0" borderId="8" xfId="0" applyFont="1" applyBorder="1"/>
    <xf numFmtId="0" fontId="16" fillId="0" borderId="9" xfId="0" applyFont="1" applyBorder="1"/>
    <xf numFmtId="0" fontId="10" fillId="0" borderId="0" xfId="0" applyFont="1" applyAlignment="1">
      <alignment horizontal="left" vertical="top"/>
    </xf>
    <xf numFmtId="0" fontId="56" fillId="0" borderId="0" xfId="0" applyFont="1" applyAlignment="1">
      <alignment vertical="center" wrapText="1"/>
    </xf>
    <xf numFmtId="0" fontId="56" fillId="0" borderId="0" xfId="0" applyFont="1" applyAlignment="1">
      <alignment vertical="center"/>
    </xf>
    <xf numFmtId="0" fontId="56" fillId="0" borderId="0" xfId="0" applyFont="1" applyAlignment="1">
      <alignment horizontal="left" vertical="center" indent="1"/>
    </xf>
    <xf numFmtId="167" fontId="12" fillId="5" borderId="0" xfId="0" applyNumberFormat="1" applyFont="1" applyFill="1" applyAlignment="1">
      <alignment horizontal="center"/>
    </xf>
    <xf numFmtId="0" fontId="57" fillId="0" borderId="0" xfId="0" applyFont="1" applyAlignment="1">
      <alignment horizontal="left" vertical="center"/>
    </xf>
    <xf numFmtId="0" fontId="22" fillId="0" borderId="2" xfId="507" applyFont="1" applyBorder="1" applyAlignment="1">
      <alignment horizontal="center" vertical="top" wrapText="1"/>
    </xf>
    <xf numFmtId="49" fontId="33" fillId="0" borderId="0" xfId="0" applyNumberFormat="1" applyFont="1" applyAlignment="1">
      <alignment horizontal="center"/>
    </xf>
    <xf numFmtId="0" fontId="38" fillId="0" borderId="0" xfId="0" applyFont="1"/>
    <xf numFmtId="5" fontId="59" fillId="0" borderId="11" xfId="505" applyNumberFormat="1" applyFont="1" applyBorder="1" applyAlignment="1" applyProtection="1">
      <alignment horizontal="center"/>
    </xf>
    <xf numFmtId="5" fontId="59" fillId="34" borderId="11" xfId="505" applyNumberFormat="1" applyFont="1" applyFill="1" applyBorder="1" applyAlignment="1" applyProtection="1">
      <alignment horizontal="center"/>
    </xf>
    <xf numFmtId="5" fontId="59" fillId="2" borderId="11" xfId="505" applyNumberFormat="1" applyFont="1" applyFill="1" applyBorder="1" applyAlignment="1" applyProtection="1">
      <alignment horizontal="center"/>
    </xf>
    <xf numFmtId="0" fontId="38" fillId="0" borderId="0" xfId="0" applyFont="1" applyAlignment="1">
      <alignment vertical="top" wrapText="1"/>
    </xf>
    <xf numFmtId="0" fontId="38" fillId="0" borderId="0" xfId="0" applyFont="1" applyAlignment="1">
      <alignment vertical="top"/>
    </xf>
    <xf numFmtId="0" fontId="38" fillId="2" borderId="0" xfId="0" applyFont="1" applyFill="1" applyAlignment="1">
      <alignment vertical="top" wrapText="1"/>
    </xf>
    <xf numFmtId="0" fontId="60" fillId="0" borderId="13" xfId="0" applyFont="1" applyBorder="1" applyAlignment="1">
      <alignment vertical="top" wrapText="1"/>
    </xf>
    <xf numFmtId="0" fontId="17" fillId="0" borderId="0" xfId="0" applyFont="1" applyAlignment="1">
      <alignment vertical="top" wrapText="1"/>
    </xf>
    <xf numFmtId="0" fontId="60" fillId="2" borderId="13" xfId="0" applyFont="1" applyFill="1" applyBorder="1" applyAlignment="1">
      <alignment vertical="top" wrapText="1"/>
    </xf>
    <xf numFmtId="0" fontId="60" fillId="0" borderId="0" xfId="0" applyFont="1" applyAlignment="1">
      <alignment vertical="top" wrapText="1"/>
    </xf>
    <xf numFmtId="0" fontId="60" fillId="2" borderId="0" xfId="0" applyFont="1" applyFill="1" applyAlignment="1">
      <alignment vertical="top" wrapText="1"/>
    </xf>
    <xf numFmtId="0" fontId="38" fillId="0" borderId="0" xfId="0" applyFont="1" applyAlignment="1">
      <alignment horizontal="right" vertical="top" wrapText="1"/>
    </xf>
    <xf numFmtId="168" fontId="38" fillId="5" borderId="6" xfId="0" applyNumberFormat="1" applyFont="1" applyFill="1" applyBorder="1" applyAlignment="1" applyProtection="1">
      <alignment horizontal="right" vertical="top" wrapText="1"/>
      <protection locked="0"/>
    </xf>
    <xf numFmtId="168" fontId="38" fillId="0" borderId="6" xfId="0" applyNumberFormat="1" applyFont="1" applyBorder="1" applyAlignment="1">
      <alignment horizontal="right" vertical="top" wrapText="1"/>
    </xf>
    <xf numFmtId="0" fontId="10" fillId="0" borderId="0" xfId="0" applyFont="1" applyAlignment="1">
      <alignment horizontal="lef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0" fontId="49" fillId="0" borderId="0" xfId="0" applyFont="1" applyAlignment="1">
      <alignment horizontal="left" vertical="center"/>
    </xf>
    <xf numFmtId="0" fontId="10" fillId="0" borderId="2" xfId="507" applyFont="1" applyBorder="1" applyAlignment="1">
      <alignment horizontal="center"/>
    </xf>
    <xf numFmtId="0" fontId="0" fillId="0" borderId="0" xfId="507" applyFont="1"/>
    <xf numFmtId="0" fontId="4" fillId="0" borderId="0" xfId="211" quotePrefix="1" applyAlignment="1">
      <alignment horizontal="left"/>
    </xf>
    <xf numFmtId="168" fontId="38" fillId="0" borderId="11" xfId="0" applyNumberFormat="1" applyFont="1" applyBorder="1" applyAlignment="1">
      <alignment vertical="top" wrapText="1"/>
    </xf>
    <xf numFmtId="168" fontId="38" fillId="4" borderId="11" xfId="0" applyNumberFormat="1" applyFont="1" applyFill="1" applyBorder="1" applyAlignment="1">
      <alignment vertical="top" wrapText="1"/>
    </xf>
    <xf numFmtId="0" fontId="75" fillId="0" borderId="0" xfId="0" applyFont="1" applyAlignment="1">
      <alignment horizontal="left" vertical="top"/>
    </xf>
    <xf numFmtId="0" fontId="76" fillId="0" borderId="0" xfId="0" applyFont="1" applyAlignment="1">
      <alignment horizontal="left" vertical="top"/>
    </xf>
    <xf numFmtId="0" fontId="56" fillId="0" borderId="0" xfId="0" applyFont="1"/>
    <xf numFmtId="0" fontId="10" fillId="8" borderId="11" xfId="506" applyFont="1" applyFill="1" applyBorder="1" applyAlignment="1">
      <alignment horizontal="left"/>
    </xf>
    <xf numFmtId="0" fontId="10" fillId="8" borderId="11" xfId="506" applyFont="1" applyFill="1" applyBorder="1" applyAlignment="1">
      <alignment horizontal="center"/>
    </xf>
    <xf numFmtId="0" fontId="48" fillId="8" borderId="11" xfId="506" applyFont="1" applyFill="1" applyBorder="1" applyAlignment="1">
      <alignment horizontal="left"/>
    </xf>
    <xf numFmtId="0" fontId="48" fillId="0" borderId="11" xfId="506" applyFont="1" applyBorder="1" applyAlignment="1">
      <alignment horizontal="left"/>
    </xf>
    <xf numFmtId="0" fontId="10" fillId="0" borderId="0" xfId="235" applyFont="1" applyAlignment="1" applyProtection="1">
      <alignment horizontal="center" wrapText="1"/>
      <protection locked="0"/>
    </xf>
    <xf numFmtId="0" fontId="12" fillId="0" borderId="0" xfId="235" applyFont="1" applyAlignment="1" applyProtection="1">
      <alignment vertical="top" wrapText="1"/>
      <protection locked="0"/>
    </xf>
    <xf numFmtId="0" fontId="10" fillId="0" borderId="0" xfId="235" applyFont="1" applyAlignment="1" applyProtection="1">
      <alignment vertical="top" wrapText="1"/>
      <protection locked="0"/>
    </xf>
    <xf numFmtId="0" fontId="3" fillId="0" borderId="0" xfId="0" applyFont="1" applyAlignment="1">
      <alignment horizontal="center"/>
    </xf>
    <xf numFmtId="0" fontId="17" fillId="0" borderId="8" xfId="530" applyFont="1" applyBorder="1" applyAlignment="1">
      <alignment vertical="top" wrapText="1"/>
    </xf>
    <xf numFmtId="0" fontId="17" fillId="0" borderId="0" xfId="530" applyFont="1" applyAlignment="1">
      <alignment vertical="top" wrapText="1"/>
    </xf>
    <xf numFmtId="0" fontId="40" fillId="2" borderId="11" xfId="530" applyFont="1" applyFill="1" applyBorder="1" applyAlignment="1">
      <alignment horizontal="left" vertical="top" wrapText="1"/>
    </xf>
    <xf numFmtId="6" fontId="38" fillId="4" borderId="11" xfId="530" applyNumberFormat="1" applyFont="1" applyFill="1" applyBorder="1" applyAlignment="1">
      <alignment vertical="top" wrapText="1"/>
    </xf>
    <xf numFmtId="0" fontId="38" fillId="0" borderId="8" xfId="530" applyFont="1" applyBorder="1" applyAlignment="1">
      <alignment vertical="top" wrapText="1"/>
    </xf>
    <xf numFmtId="0" fontId="38" fillId="0" borderId="0" xfId="530" applyFont="1" applyAlignment="1">
      <alignment vertical="top" wrapText="1"/>
    </xf>
    <xf numFmtId="6" fontId="38" fillId="0" borderId="11" xfId="530" applyNumberFormat="1" applyFont="1" applyBorder="1" applyAlignment="1">
      <alignment vertical="top" wrapText="1"/>
    </xf>
    <xf numFmtId="6" fontId="38" fillId="5" borderId="11" xfId="530" applyNumberFormat="1" applyFont="1" applyFill="1" applyBorder="1" applyAlignment="1" applyProtection="1">
      <alignment vertical="top" wrapText="1"/>
      <protection locked="0"/>
    </xf>
    <xf numFmtId="6" fontId="38" fillId="6" borderId="11" xfId="530" applyNumberFormat="1" applyFont="1" applyFill="1" applyBorder="1" applyAlignment="1">
      <alignment horizontal="center" vertical="top" wrapText="1"/>
    </xf>
    <xf numFmtId="0" fontId="38" fillId="0" borderId="11" xfId="530" applyFont="1" applyBorder="1" applyAlignment="1">
      <alignment horizontal="right" vertical="top" wrapText="1"/>
    </xf>
    <xf numFmtId="0" fontId="39" fillId="0" borderId="11" xfId="530" applyFont="1" applyBorder="1" applyAlignment="1">
      <alignment horizontal="right" vertical="top" wrapText="1"/>
    </xf>
    <xf numFmtId="0" fontId="38" fillId="0" borderId="11" xfId="530" applyFont="1" applyBorder="1" applyAlignment="1">
      <alignment horizontal="right" vertical="top"/>
    </xf>
    <xf numFmtId="6" fontId="39" fillId="0" borderId="11" xfId="530" applyNumberFormat="1" applyFont="1" applyBorder="1" applyAlignment="1">
      <alignment vertical="top" wrapText="1"/>
    </xf>
    <xf numFmtId="0" fontId="39" fillId="0" borderId="8" xfId="530" applyFont="1" applyBorder="1" applyAlignment="1">
      <alignment vertical="top" wrapText="1"/>
    </xf>
    <xf numFmtId="0" fontId="39" fillId="0" borderId="0" xfId="530" applyFont="1" applyAlignment="1">
      <alignment vertical="top" wrapText="1"/>
    </xf>
    <xf numFmtId="0" fontId="6" fillId="0" borderId="11" xfId="530" applyFont="1" applyBorder="1" applyAlignment="1">
      <alignment horizontal="right" vertical="top" wrapText="1"/>
    </xf>
    <xf numFmtId="0" fontId="39" fillId="0" borderId="0" xfId="530" applyFont="1" applyAlignment="1">
      <alignment horizontal="left" vertical="top"/>
    </xf>
    <xf numFmtId="6" fontId="38" fillId="0" borderId="0" xfId="530" applyNumberFormat="1" applyFont="1" applyAlignment="1">
      <alignment horizontal="left" vertical="top"/>
    </xf>
    <xf numFmtId="0" fontId="76" fillId="0" borderId="0" xfId="530" applyFont="1" applyAlignment="1">
      <alignment horizontal="left" vertical="top"/>
    </xf>
    <xf numFmtId="6" fontId="38" fillId="0" borderId="0" xfId="530" applyNumberFormat="1" applyFont="1" applyAlignment="1">
      <alignment vertical="top" wrapText="1"/>
    </xf>
    <xf numFmtId="0" fontId="38" fillId="0" borderId="0" xfId="530" applyFont="1" applyAlignment="1">
      <alignment horizontal="left" vertical="top"/>
    </xf>
    <xf numFmtId="0" fontId="38" fillId="0" borderId="12" xfId="530" applyFont="1" applyBorder="1" applyAlignment="1">
      <alignment vertical="top" wrapText="1"/>
    </xf>
    <xf numFmtId="0" fontId="10" fillId="0" borderId="0" xfId="530" applyFont="1" applyAlignment="1">
      <alignment horizontal="left" vertical="top"/>
    </xf>
    <xf numFmtId="0" fontId="79" fillId="0" borderId="0" xfId="530" applyFont="1" applyAlignment="1">
      <alignment horizontal="left" vertical="top"/>
    </xf>
    <xf numFmtId="0" fontId="49" fillId="0" borderId="0" xfId="530" applyFont="1" applyAlignment="1">
      <alignment horizontal="left" vertical="center"/>
    </xf>
    <xf numFmtId="0" fontId="18" fillId="0" borderId="0" xfId="530" applyFont="1" applyAlignment="1">
      <alignment vertical="top" wrapText="1"/>
    </xf>
    <xf numFmtId="0" fontId="18" fillId="0" borderId="12" xfId="530" applyFont="1" applyBorder="1" applyAlignment="1">
      <alignment vertical="top" wrapText="1"/>
    </xf>
    <xf numFmtId="0" fontId="18" fillId="0" borderId="8" xfId="530" applyFont="1" applyBorder="1" applyAlignment="1">
      <alignment vertical="top" wrapText="1"/>
    </xf>
    <xf numFmtId="0" fontId="38" fillId="0" borderId="0" xfId="530" applyFont="1" applyAlignment="1">
      <alignment vertical="top"/>
    </xf>
    <xf numFmtId="168" fontId="38" fillId="0" borderId="0" xfId="530" applyNumberFormat="1" applyFont="1" applyAlignment="1" applyProtection="1">
      <alignment horizontal="right" vertical="top" wrapText="1"/>
      <protection locked="0"/>
    </xf>
    <xf numFmtId="0" fontId="3" fillId="0" borderId="0" xfId="530" applyFont="1" applyAlignment="1">
      <alignment vertical="top" wrapText="1"/>
    </xf>
    <xf numFmtId="0" fontId="3" fillId="0" borderId="0" xfId="530" applyFont="1" applyAlignment="1">
      <alignment vertical="top"/>
    </xf>
    <xf numFmtId="0" fontId="38" fillId="0" borderId="0" xfId="530" applyFont="1" applyAlignment="1">
      <alignment horizontal="right" vertical="top" wrapText="1"/>
    </xf>
    <xf numFmtId="0" fontId="10" fillId="0" borderId="0" xfId="530" applyFont="1" applyAlignment="1">
      <alignment horizontal="left" vertical="top" wrapText="1"/>
    </xf>
    <xf numFmtId="168" fontId="38" fillId="0" borderId="0" xfId="530" applyNumberFormat="1" applyFont="1" applyAlignment="1">
      <alignment horizontal="right" vertical="top" wrapText="1"/>
    </xf>
    <xf numFmtId="0" fontId="3" fillId="0" borderId="0" xfId="530" applyFont="1" applyAlignment="1" applyProtection="1">
      <alignment horizontal="left" vertical="top" wrapText="1"/>
      <protection locked="0"/>
    </xf>
    <xf numFmtId="0" fontId="3" fillId="0" borderId="0" xfId="530" applyFont="1" applyAlignment="1">
      <alignment horizontal="right" vertical="top" wrapText="1"/>
    </xf>
    <xf numFmtId="0" fontId="3" fillId="0" borderId="0" xfId="530" applyFont="1" applyAlignment="1">
      <alignment horizontal="left" vertical="top"/>
    </xf>
    <xf numFmtId="0" fontId="60" fillId="0" borderId="0" xfId="530" applyFont="1" applyAlignment="1">
      <alignment vertical="top" wrapText="1"/>
    </xf>
    <xf numFmtId="0" fontId="60" fillId="0" borderId="12" xfId="530" applyFont="1" applyBorder="1" applyAlignment="1">
      <alignment vertical="top" wrapText="1"/>
    </xf>
    <xf numFmtId="0" fontId="60" fillId="0" borderId="8" xfId="530" applyFont="1" applyBorder="1" applyAlignment="1">
      <alignment vertical="top" wrapText="1"/>
    </xf>
    <xf numFmtId="0" fontId="17" fillId="0" borderId="0" xfId="530" applyFont="1" applyAlignment="1">
      <alignment horizontal="right" vertical="top" wrapText="1"/>
    </xf>
    <xf numFmtId="0" fontId="60" fillId="0" borderId="0" xfId="530" applyFont="1" applyAlignment="1">
      <alignment horizontal="right" vertical="top" wrapText="1"/>
    </xf>
    <xf numFmtId="0" fontId="39" fillId="0" borderId="3" xfId="530" applyFont="1" applyBorder="1" applyAlignment="1">
      <alignment horizontal="left"/>
    </xf>
    <xf numFmtId="0" fontId="39" fillId="0" borderId="13" xfId="530" applyFont="1" applyBorder="1" applyAlignment="1">
      <alignment horizontal="center" wrapText="1"/>
    </xf>
    <xf numFmtId="0" fontId="39" fillId="0" borderId="8" xfId="530" applyFont="1" applyBorder="1" applyAlignment="1">
      <alignment horizontal="center" wrapText="1"/>
    </xf>
    <xf numFmtId="0" fontId="39" fillId="0" borderId="0" xfId="530" applyFont="1" applyAlignment="1">
      <alignment horizontal="center" wrapText="1"/>
    </xf>
    <xf numFmtId="0" fontId="3" fillId="0" borderId="0" xfId="530" applyFont="1"/>
    <xf numFmtId="0" fontId="9" fillId="0" borderId="0" xfId="530" applyFont="1" applyAlignment="1">
      <alignment horizontal="center" vertical="center"/>
    </xf>
    <xf numFmtId="0" fontId="10" fillId="0" borderId="0" xfId="530" applyFont="1"/>
    <xf numFmtId="0" fontId="3" fillId="0" borderId="1" xfId="530" applyFont="1" applyBorder="1"/>
    <xf numFmtId="0" fontId="3" fillId="0" borderId="2" xfId="530" applyFont="1" applyBorder="1"/>
    <xf numFmtId="0" fontId="3" fillId="0" borderId="8" xfId="530" applyFont="1" applyBorder="1"/>
    <xf numFmtId="0" fontId="3" fillId="0" borderId="9" xfId="530" applyFont="1" applyBorder="1"/>
    <xf numFmtId="0" fontId="3" fillId="0" borderId="6" xfId="530" applyFont="1" applyBorder="1"/>
    <xf numFmtId="0" fontId="11" fillId="0" borderId="0" xfId="530" applyFont="1"/>
    <xf numFmtId="0" fontId="3" fillId="0" borderId="7" xfId="530" applyFont="1" applyBorder="1"/>
    <xf numFmtId="0" fontId="3" fillId="0" borderId="12" xfId="530" applyFont="1" applyBorder="1"/>
    <xf numFmtId="0" fontId="3" fillId="0" borderId="10" xfId="530" applyFont="1" applyBorder="1"/>
    <xf numFmtId="0" fontId="11" fillId="0" borderId="0" xfId="530" applyFont="1" applyAlignment="1">
      <alignment vertical="top" wrapText="1"/>
    </xf>
    <xf numFmtId="0" fontId="3" fillId="0" borderId="0" xfId="530" applyFont="1" applyAlignment="1">
      <alignment horizontal="right"/>
    </xf>
    <xf numFmtId="0" fontId="3" fillId="0" borderId="0" xfId="530" applyFont="1" applyAlignment="1">
      <alignment wrapText="1"/>
    </xf>
    <xf numFmtId="0" fontId="3" fillId="0" borderId="0" xfId="530" applyFont="1" applyAlignment="1">
      <alignment vertical="center"/>
    </xf>
    <xf numFmtId="0" fontId="27" fillId="0" borderId="0" xfId="530" applyFont="1" applyAlignment="1">
      <alignment vertical="center" wrapText="1"/>
    </xf>
    <xf numFmtId="0" fontId="21" fillId="0" borderId="0" xfId="530" applyFont="1" applyAlignment="1">
      <alignment vertical="top" wrapText="1"/>
    </xf>
    <xf numFmtId="0" fontId="10" fillId="0" borderId="0" xfId="530" applyFont="1" applyAlignment="1">
      <alignment vertical="top" wrapText="1"/>
    </xf>
    <xf numFmtId="0" fontId="11" fillId="0" borderId="0" xfId="530" applyFont="1" applyAlignment="1">
      <alignment horizontal="left" vertical="top" wrapText="1"/>
    </xf>
    <xf numFmtId="166" fontId="3" fillId="0" borderId="0" xfId="530" applyNumberFormat="1" applyFont="1" applyAlignment="1">
      <alignment horizontal="right"/>
    </xf>
    <xf numFmtId="168" fontId="3" fillId="0" borderId="0" xfId="530" applyNumberFormat="1" applyFont="1" applyAlignment="1">
      <alignment horizontal="right"/>
    </xf>
    <xf numFmtId="0" fontId="77" fillId="0" borderId="0" xfId="530" applyFont="1" applyAlignment="1">
      <alignment horizontal="left" vertical="top" wrapText="1"/>
    </xf>
    <xf numFmtId="168" fontId="3" fillId="0" borderId="0" xfId="530" applyNumberFormat="1" applyFont="1" applyAlignment="1">
      <alignment wrapText="1"/>
    </xf>
    <xf numFmtId="0" fontId="8" fillId="0" borderId="11" xfId="217" applyFont="1" applyBorder="1" applyAlignment="1">
      <alignment horizontal="center" wrapText="1"/>
    </xf>
    <xf numFmtId="0" fontId="8" fillId="0" borderId="0" xfId="217" applyFont="1" applyAlignment="1">
      <alignment horizontal="center" wrapText="1"/>
    </xf>
    <xf numFmtId="3" fontId="8" fillId="0" borderId="11" xfId="235" applyNumberFormat="1" applyFont="1" applyBorder="1"/>
    <xf numFmtId="3" fontId="8" fillId="0" borderId="0" xfId="235" applyNumberFormat="1" applyFont="1"/>
    <xf numFmtId="0" fontId="50" fillId="0" borderId="0" xfId="235" applyFont="1" applyAlignment="1">
      <alignment horizontal="left"/>
    </xf>
    <xf numFmtId="0" fontId="50" fillId="0" borderId="0" xfId="235" applyFont="1" applyAlignment="1">
      <alignment horizontal="right"/>
    </xf>
    <xf numFmtId="168" fontId="8" fillId="0" borderId="11" xfId="235" applyNumberFormat="1" applyFont="1" applyBorder="1"/>
    <xf numFmtId="168" fontId="8" fillId="0" borderId="0" xfId="235" applyNumberFormat="1" applyFont="1"/>
    <xf numFmtId="0" fontId="38" fillId="0" borderId="0" xfId="530" applyFont="1" applyAlignment="1">
      <alignment horizontal="left"/>
    </xf>
    <xf numFmtId="0" fontId="3" fillId="0" borderId="3" xfId="530" applyFont="1" applyBorder="1"/>
    <xf numFmtId="0" fontId="78" fillId="0" borderId="0" xfId="1795" applyFont="1"/>
    <xf numFmtId="0" fontId="0" fillId="0" borderId="0" xfId="0" applyAlignment="1">
      <alignment horizontal="left" vertical="top"/>
    </xf>
    <xf numFmtId="0" fontId="77" fillId="0" borderId="0" xfId="0" applyFont="1" applyAlignment="1">
      <alignment vertical="top" wrapText="1"/>
    </xf>
    <xf numFmtId="0" fontId="38" fillId="0" borderId="0" xfId="235" applyFont="1" applyAlignment="1">
      <alignment vertical="top" wrapText="1"/>
    </xf>
    <xf numFmtId="4" fontId="3" fillId="0" borderId="0" xfId="1153" applyNumberFormat="1" applyFont="1" applyAlignment="1">
      <alignment horizontal="left" vertical="top" wrapText="1"/>
    </xf>
    <xf numFmtId="0" fontId="3" fillId="0" borderId="0" xfId="0" applyFont="1" applyAlignment="1">
      <alignment horizontal="left" vertical="top" wrapText="1"/>
    </xf>
    <xf numFmtId="0" fontId="10" fillId="0" borderId="12" xfId="507" applyFont="1" applyBorder="1" applyAlignment="1">
      <alignment horizontal="right"/>
    </xf>
    <xf numFmtId="0" fontId="22" fillId="0" borderId="0" xfId="507" applyFont="1" applyAlignment="1">
      <alignment horizontal="center"/>
    </xf>
    <xf numFmtId="4" fontId="3" fillId="0" borderId="0" xfId="530" applyNumberFormat="1" applyFont="1" applyAlignment="1">
      <alignment horizontal="left"/>
    </xf>
    <xf numFmtId="0" fontId="3" fillId="0" borderId="0" xfId="530" applyFont="1" applyAlignment="1">
      <alignment horizontal="left" vertical="top" wrapText="1"/>
    </xf>
    <xf numFmtId="0" fontId="3" fillId="0" borderId="0" xfId="530" applyFont="1" applyAlignment="1">
      <alignment horizontal="left"/>
    </xf>
    <xf numFmtId="0" fontId="3" fillId="0" borderId="0" xfId="1153" applyFont="1" applyAlignment="1">
      <alignment horizontal="left"/>
    </xf>
    <xf numFmtId="0" fontId="10" fillId="0" borderId="0" xfId="530" applyFont="1" applyAlignment="1">
      <alignment horizontal="left"/>
    </xf>
    <xf numFmtId="0" fontId="32" fillId="0" borderId="0" xfId="1153" applyFont="1"/>
    <xf numFmtId="0" fontId="38" fillId="0" borderId="11" xfId="0" applyFont="1" applyBorder="1" applyAlignment="1">
      <alignment horizontal="right" vertical="center"/>
    </xf>
    <xf numFmtId="0" fontId="3" fillId="0" borderId="0" xfId="1153" applyFont="1" applyAlignment="1">
      <alignment horizontal="left" vertical="top" wrapText="1"/>
    </xf>
    <xf numFmtId="0" fontId="32" fillId="0" borderId="0" xfId="0" applyFont="1" applyAlignment="1">
      <alignment vertical="top" wrapText="1"/>
    </xf>
    <xf numFmtId="0" fontId="32" fillId="0" borderId="0" xfId="0" applyFont="1" applyAlignment="1">
      <alignment horizontal="left" vertical="top" wrapText="1"/>
    </xf>
    <xf numFmtId="6" fontId="39" fillId="0" borderId="0" xfId="530" applyNumberFormat="1" applyFont="1" applyAlignment="1">
      <alignment horizontal="right" vertical="top"/>
    </xf>
    <xf numFmtId="0" fontId="3" fillId="0" borderId="0" xfId="0" applyFont="1" applyAlignment="1">
      <alignment vertical="top" wrapText="1"/>
    </xf>
    <xf numFmtId="168" fontId="12" fillId="0" borderId="0" xfId="0" applyNumberFormat="1" applyFont="1" applyAlignment="1">
      <alignment horizontal="right"/>
    </xf>
    <xf numFmtId="168" fontId="12" fillId="0" borderId="26" xfId="504" applyNumberFormat="1" applyFont="1" applyBorder="1" applyAlignment="1" applyProtection="1">
      <alignment horizontal="center"/>
    </xf>
    <xf numFmtId="168" fontId="12" fillId="0" borderId="27" xfId="504" applyNumberFormat="1" applyFont="1" applyBorder="1" applyAlignment="1" applyProtection="1">
      <alignment horizontal="center"/>
    </xf>
    <xf numFmtId="168" fontId="12" fillId="0" borderId="28" xfId="504" applyNumberFormat="1" applyFont="1" applyBorder="1" applyAlignment="1" applyProtection="1">
      <alignment horizontal="center"/>
    </xf>
    <xf numFmtId="168" fontId="12" fillId="0" borderId="29" xfId="504" applyNumberFormat="1" applyFont="1" applyBorder="1" applyAlignment="1" applyProtection="1">
      <alignment horizontal="center"/>
    </xf>
    <xf numFmtId="168" fontId="12" fillId="0" borderId="30" xfId="504" applyNumberFormat="1" applyFont="1" applyBorder="1" applyAlignment="1" applyProtection="1">
      <alignment horizontal="center"/>
    </xf>
    <xf numFmtId="168" fontId="12" fillId="0" borderId="31" xfId="504" applyNumberFormat="1" applyFont="1" applyBorder="1" applyAlignment="1" applyProtection="1">
      <alignment horizontal="center"/>
    </xf>
    <xf numFmtId="168" fontId="12" fillId="0" borderId="32" xfId="504" applyNumberFormat="1" applyFont="1" applyBorder="1" applyAlignment="1" applyProtection="1">
      <alignment horizontal="center"/>
    </xf>
    <xf numFmtId="168" fontId="12" fillId="0" borderId="33" xfId="504" applyNumberFormat="1" applyFont="1" applyBorder="1" applyAlignment="1" applyProtection="1">
      <alignment horizontal="center"/>
    </xf>
    <xf numFmtId="168" fontId="12" fillId="0" borderId="34" xfId="504" applyNumberFormat="1" applyFont="1" applyBorder="1" applyAlignment="1" applyProtection="1">
      <alignment horizontal="center"/>
    </xf>
    <xf numFmtId="168" fontId="12" fillId="0" borderId="35" xfId="504" applyNumberFormat="1" applyFont="1" applyBorder="1" applyAlignment="1" applyProtection="1">
      <alignment horizontal="center"/>
    </xf>
    <xf numFmtId="168" fontId="12" fillId="0" borderId="36" xfId="504" applyNumberFormat="1" applyFont="1" applyBorder="1" applyAlignment="1" applyProtection="1">
      <alignment horizontal="center"/>
    </xf>
    <xf numFmtId="168" fontId="12" fillId="0" borderId="37" xfId="504" applyNumberFormat="1" applyFont="1" applyBorder="1" applyAlignment="1" applyProtection="1">
      <alignment horizontal="center"/>
    </xf>
    <xf numFmtId="168" fontId="12" fillId="0" borderId="38" xfId="504" applyNumberFormat="1" applyFont="1" applyBorder="1" applyAlignment="1" applyProtection="1">
      <alignment horizontal="center"/>
    </xf>
    <xf numFmtId="168" fontId="12" fillId="0" borderId="0" xfId="504" applyNumberFormat="1" applyFont="1" applyAlignment="1" applyProtection="1">
      <alignment horizontal="center"/>
    </xf>
    <xf numFmtId="168" fontId="12" fillId="0" borderId="14" xfId="504" applyNumberFormat="1" applyFont="1" applyBorder="1" applyAlignment="1" applyProtection="1">
      <alignment horizontal="center"/>
    </xf>
    <xf numFmtId="168" fontId="12" fillId="0" borderId="39" xfId="504" applyNumberFormat="1" applyFont="1" applyBorder="1" applyAlignment="1" applyProtection="1">
      <alignment horizontal="center"/>
    </xf>
    <xf numFmtId="168" fontId="12" fillId="0" borderId="40" xfId="504" applyNumberFormat="1" applyFont="1" applyBorder="1" applyAlignment="1" applyProtection="1">
      <alignment horizontal="center"/>
    </xf>
    <xf numFmtId="168" fontId="12" fillId="0" borderId="41" xfId="504" applyNumberFormat="1" applyFont="1" applyBorder="1" applyAlignment="1" applyProtection="1">
      <alignment horizontal="center"/>
    </xf>
    <xf numFmtId="168" fontId="12" fillId="0" borderId="42" xfId="504" applyNumberFormat="1" applyFont="1" applyBorder="1" applyAlignment="1" applyProtection="1">
      <alignment horizontal="center"/>
    </xf>
    <xf numFmtId="0" fontId="3" fillId="0" borderId="0" xfId="1153" applyFont="1"/>
    <xf numFmtId="0" fontId="3" fillId="0" borderId="0" xfId="0" applyFont="1" applyAlignment="1">
      <alignment wrapText="1"/>
    </xf>
    <xf numFmtId="0" fontId="32" fillId="0" borderId="0" xfId="0" applyFont="1" applyAlignment="1">
      <alignment horizontal="left" vertical="top"/>
    </xf>
    <xf numFmtId="0" fontId="32" fillId="0" borderId="0" xfId="0" applyFont="1" applyAlignment="1">
      <alignment vertical="top"/>
    </xf>
    <xf numFmtId="0" fontId="3" fillId="0" borderId="0" xfId="530" applyFont="1" applyAlignment="1">
      <alignment horizontal="center"/>
    </xf>
    <xf numFmtId="0" fontId="21" fillId="0" borderId="0" xfId="530" applyFont="1" applyAlignment="1">
      <alignment horizontal="left"/>
    </xf>
    <xf numFmtId="0" fontId="21" fillId="0" borderId="0" xfId="530" applyFont="1" applyAlignment="1">
      <alignment horizontal="center"/>
    </xf>
    <xf numFmtId="49" fontId="10" fillId="0" borderId="0" xfId="530" applyNumberFormat="1" applyFont="1" applyAlignment="1">
      <alignment horizontal="center"/>
    </xf>
    <xf numFmtId="0" fontId="37" fillId="0" borderId="0" xfId="530" applyFont="1" applyAlignment="1">
      <alignment horizontal="center"/>
    </xf>
    <xf numFmtId="0" fontId="3" fillId="5" borderId="6" xfId="530" applyFont="1" applyFill="1" applyBorder="1" applyProtection="1">
      <protection locked="0"/>
    </xf>
    <xf numFmtId="0" fontId="4" fillId="0" borderId="0" xfId="211" applyAlignment="1">
      <alignment horizontal="center"/>
    </xf>
    <xf numFmtId="49" fontId="3" fillId="0" borderId="0" xfId="530" applyNumberFormat="1" applyFont="1" applyAlignment="1">
      <alignment horizontal="center"/>
    </xf>
    <xf numFmtId="0" fontId="3" fillId="0" borderId="0" xfId="530" applyFont="1" applyAlignment="1">
      <alignment horizontal="center" vertical="center"/>
    </xf>
    <xf numFmtId="0" fontId="3" fillId="0" borderId="0" xfId="1153" applyFont="1" applyAlignment="1">
      <alignment horizontal="center"/>
    </xf>
    <xf numFmtId="0" fontId="10" fillId="0" borderId="0" xfId="530" applyFont="1" applyAlignment="1">
      <alignment horizontal="center"/>
    </xf>
    <xf numFmtId="0" fontId="3" fillId="0" borderId="0" xfId="530" applyFont="1" applyAlignment="1">
      <alignment horizontal="left" indent="4"/>
    </xf>
    <xf numFmtId="0" fontId="3" fillId="0" borderId="0" xfId="530" quotePrefix="1" applyFont="1" applyAlignment="1">
      <alignment horizontal="left"/>
    </xf>
    <xf numFmtId="0" fontId="21" fillId="0" borderId="0" xfId="530" applyFont="1"/>
    <xf numFmtId="0" fontId="3" fillId="0" borderId="0" xfId="1153" applyFont="1" applyAlignment="1" applyProtection="1">
      <alignment horizontal="left"/>
      <protection locked="0"/>
    </xf>
    <xf numFmtId="0" fontId="3" fillId="0" borderId="0" xfId="530" applyFont="1" applyAlignment="1" applyProtection="1">
      <alignment horizontal="left"/>
      <protection locked="0"/>
    </xf>
    <xf numFmtId="49" fontId="3" fillId="0" borderId="0" xfId="1153" applyNumberFormat="1" applyFont="1" applyAlignment="1">
      <alignment horizontal="center"/>
    </xf>
    <xf numFmtId="0" fontId="37" fillId="0" borderId="0" xfId="1153" applyFont="1" applyAlignment="1">
      <alignment horizontal="center"/>
    </xf>
    <xf numFmtId="0" fontId="10" fillId="0" borderId="0" xfId="1153" applyFont="1" applyAlignment="1">
      <alignment horizontal="left"/>
    </xf>
    <xf numFmtId="4" fontId="3" fillId="0" borderId="0" xfId="1153" applyNumberFormat="1" applyFont="1" applyAlignment="1">
      <alignment horizontal="left"/>
    </xf>
    <xf numFmtId="0" fontId="10" fillId="0" borderId="0" xfId="530" quotePrefix="1" applyFont="1" applyAlignment="1">
      <alignment horizontal="center"/>
    </xf>
    <xf numFmtId="49" fontId="3" fillId="0" borderId="0" xfId="530" applyNumberFormat="1" applyFont="1"/>
    <xf numFmtId="0" fontId="35" fillId="0" borderId="0" xfId="530" applyFont="1" applyAlignment="1">
      <alignment horizontal="left"/>
    </xf>
    <xf numFmtId="4" fontId="37" fillId="0" borderId="0" xfId="530" applyNumberFormat="1" applyFont="1" applyAlignment="1">
      <alignment horizontal="center"/>
    </xf>
    <xf numFmtId="4" fontId="3" fillId="0" borderId="0" xfId="530" applyNumberFormat="1" applyFont="1" applyAlignment="1">
      <alignment horizontal="center"/>
    </xf>
    <xf numFmtId="4" fontId="3" fillId="0" borderId="0" xfId="530" applyNumberFormat="1" applyFont="1"/>
    <xf numFmtId="0" fontId="33" fillId="0" borderId="0" xfId="530" applyFont="1" applyAlignment="1">
      <alignment horizontal="left"/>
    </xf>
    <xf numFmtId="0" fontId="4" fillId="0" borderId="0" xfId="211" applyAlignment="1" applyProtection="1">
      <alignment horizontal="left"/>
      <protection locked="0"/>
    </xf>
    <xf numFmtId="0" fontId="38" fillId="0" borderId="11" xfId="0" applyFont="1" applyBorder="1" applyAlignment="1" applyProtection="1">
      <alignment horizontal="right" vertical="top" wrapText="1"/>
      <protection locked="0"/>
    </xf>
    <xf numFmtId="168" fontId="41" fillId="36" borderId="11" xfId="0" applyNumberFormat="1" applyFont="1" applyFill="1" applyBorder="1" applyAlignment="1">
      <alignment vertical="top" wrapText="1"/>
    </xf>
    <xf numFmtId="0" fontId="3" fillId="0" borderId="11" xfId="235" applyFont="1" applyBorder="1" applyAlignment="1">
      <alignment horizontal="right" vertical="top" wrapText="1"/>
    </xf>
    <xf numFmtId="0" fontId="11" fillId="0" borderId="0" xfId="530" applyFont="1" applyAlignment="1">
      <alignment horizontal="left"/>
    </xf>
    <xf numFmtId="0" fontId="75" fillId="0" borderId="0" xfId="0" applyFont="1"/>
    <xf numFmtId="0" fontId="84" fillId="0" borderId="0" xfId="0" applyFont="1" applyAlignment="1">
      <alignment horizontal="left" vertical="top"/>
    </xf>
    <xf numFmtId="0" fontId="85" fillId="0" borderId="0" xfId="0" applyFont="1" applyAlignment="1">
      <alignment horizontal="left" vertical="top"/>
    </xf>
    <xf numFmtId="168" fontId="11" fillId="0" borderId="0" xfId="0" applyNumberFormat="1" applyFont="1" applyAlignment="1">
      <alignment horizontal="left" vertical="top" wrapText="1"/>
    </xf>
    <xf numFmtId="168" fontId="38" fillId="5" borderId="11" xfId="0" applyNumberFormat="1" applyFont="1" applyFill="1" applyBorder="1" applyAlignment="1">
      <alignment vertical="top" wrapText="1"/>
    </xf>
    <xf numFmtId="0" fontId="3" fillId="0" borderId="0" xfId="235" applyFont="1" applyAlignment="1">
      <alignment horizontal="left" vertical="top"/>
    </xf>
    <xf numFmtId="0" fontId="38" fillId="0" borderId="0" xfId="530" applyFont="1"/>
    <xf numFmtId="0" fontId="3" fillId="0" borderId="0" xfId="0" applyFont="1" applyAlignment="1">
      <alignment horizontal="left" vertical="top"/>
    </xf>
    <xf numFmtId="4" fontId="3" fillId="0" borderId="0" xfId="1153" applyNumberFormat="1" applyFont="1" applyAlignment="1">
      <alignment vertical="top" wrapText="1"/>
    </xf>
    <xf numFmtId="0" fontId="10" fillId="0" borderId="16" xfId="235" applyFont="1" applyBorder="1"/>
    <xf numFmtId="0" fontId="45" fillId="0" borderId="0" xfId="530" applyFont="1"/>
    <xf numFmtId="0" fontId="27" fillId="0" borderId="0" xfId="530" applyFont="1"/>
    <xf numFmtId="0" fontId="3" fillId="0" borderId="0" xfId="1153" applyFont="1" applyAlignment="1">
      <alignment vertical="top" wrapText="1"/>
    </xf>
    <xf numFmtId="49" fontId="3" fillId="0" borderId="0" xfId="1153" applyNumberFormat="1" applyFont="1" applyAlignment="1">
      <alignment vertical="top" wrapText="1"/>
    </xf>
    <xf numFmtId="0" fontId="40" fillId="0" borderId="9" xfId="507" applyFont="1" applyBorder="1" applyAlignment="1">
      <alignment vertical="top"/>
    </xf>
    <xf numFmtId="0" fontId="3" fillId="0" borderId="0" xfId="0" applyFont="1" applyAlignment="1">
      <alignment vertical="center"/>
    </xf>
    <xf numFmtId="0" fontId="86" fillId="0" borderId="0" xfId="0" applyFont="1"/>
    <xf numFmtId="3" fontId="75" fillId="0" borderId="0" xfId="0" applyNumberFormat="1" applyFont="1"/>
    <xf numFmtId="0" fontId="75" fillId="0" borderId="0" xfId="0" applyFont="1" applyAlignment="1">
      <alignment horizontal="left"/>
    </xf>
    <xf numFmtId="168" fontId="87" fillId="0" borderId="0" xfId="0" applyNumberFormat="1" applyFont="1" applyAlignment="1">
      <alignment horizontal="left" vertical="top"/>
    </xf>
    <xf numFmtId="0" fontId="75" fillId="0" borderId="0" xfId="0" applyFont="1" applyAlignment="1">
      <alignment horizontal="left" vertical="center"/>
    </xf>
    <xf numFmtId="0" fontId="89" fillId="0" borderId="0" xfId="0" applyFont="1"/>
    <xf numFmtId="167" fontId="3" fillId="0" borderId="8" xfId="507" applyNumberFormat="1" applyFont="1" applyBorder="1"/>
    <xf numFmtId="0" fontId="3" fillId="0" borderId="8" xfId="4456" applyFont="1" applyBorder="1"/>
    <xf numFmtId="0" fontId="3" fillId="0" borderId="0" xfId="4456" applyFont="1"/>
    <xf numFmtId="0" fontId="9" fillId="0" borderId="0" xfId="4456" applyFont="1" applyAlignment="1">
      <alignment horizontal="center" vertical="center"/>
    </xf>
    <xf numFmtId="0" fontId="10" fillId="0" borderId="0" xfId="4456" applyFont="1" applyAlignment="1">
      <alignment horizontal="left"/>
    </xf>
    <xf numFmtId="0" fontId="10" fillId="0" borderId="0" xfId="4456" applyFont="1"/>
    <xf numFmtId="0" fontId="13" fillId="0" borderId="0" xfId="4456" applyFont="1" applyAlignment="1">
      <alignment horizontal="center" vertical="center"/>
    </xf>
    <xf numFmtId="0" fontId="13" fillId="0" borderId="25" xfId="4456" applyFont="1" applyBorder="1" applyAlignment="1">
      <alignment horizontal="center" vertical="center"/>
    </xf>
    <xf numFmtId="0" fontId="13" fillId="0" borderId="44" xfId="4456" applyFont="1" applyBorder="1" applyAlignment="1">
      <alignment horizontal="center" vertical="center"/>
    </xf>
    <xf numFmtId="0" fontId="10" fillId="0" borderId="0" xfId="4456" applyFont="1" applyAlignment="1">
      <alignment horizontal="right"/>
    </xf>
    <xf numFmtId="0" fontId="3" fillId="0" borderId="0" xfId="1153" quotePrefix="1" applyFont="1" applyAlignment="1">
      <alignment horizontal="center"/>
    </xf>
    <xf numFmtId="0" fontId="33" fillId="0" borderId="0" xfId="4456" applyFont="1" applyAlignment="1">
      <alignment horizontal="left" vertical="center"/>
    </xf>
    <xf numFmtId="49" fontId="11" fillId="0" borderId="0" xfId="4456" applyNumberFormat="1" applyFont="1" applyAlignment="1">
      <alignment horizontal="left" vertical="top"/>
    </xf>
    <xf numFmtId="0" fontId="3" fillId="0" borderId="45" xfId="4456" applyFont="1" applyBorder="1" applyAlignment="1">
      <alignment horizontal="left" vertical="center"/>
    </xf>
    <xf numFmtId="0" fontId="13" fillId="0" borderId="46" xfId="4456" applyFont="1" applyBorder="1" applyAlignment="1">
      <alignment horizontal="center" vertical="center"/>
    </xf>
    <xf numFmtId="0" fontId="11" fillId="0" borderId="0" xfId="4456" applyFont="1"/>
    <xf numFmtId="0" fontId="11" fillId="0" borderId="0" xfId="4456" applyFont="1" applyAlignment="1">
      <alignment horizontal="left" vertical="top"/>
    </xf>
    <xf numFmtId="0" fontId="90" fillId="0" borderId="0" xfId="4457" applyFont="1" applyAlignment="1">
      <alignment horizontal="left" vertical="top" wrapText="1"/>
    </xf>
    <xf numFmtId="0" fontId="90" fillId="0" borderId="52" xfId="4457" applyFont="1" applyBorder="1" applyAlignment="1">
      <alignment horizontal="left" vertical="top" wrapText="1"/>
    </xf>
    <xf numFmtId="0" fontId="3" fillId="0" borderId="0" xfId="4456" applyFont="1" applyAlignment="1">
      <alignment horizontal="left" vertical="center"/>
    </xf>
    <xf numFmtId="0" fontId="91" fillId="0" borderId="0" xfId="4457" applyFont="1" applyAlignment="1">
      <alignment vertical="center"/>
    </xf>
    <xf numFmtId="0" fontId="90" fillId="0" borderId="0" xfId="4457" applyFont="1"/>
    <xf numFmtId="0" fontId="90" fillId="0" borderId="0" xfId="4457" applyFont="1" applyAlignment="1">
      <alignment vertical="center"/>
    </xf>
    <xf numFmtId="0" fontId="92" fillId="0" borderId="0" xfId="4457" applyFont="1" applyAlignment="1">
      <alignment vertical="center"/>
    </xf>
    <xf numFmtId="0" fontId="3" fillId="0" borderId="0" xfId="4457" applyFont="1" applyAlignment="1">
      <alignment vertical="center"/>
    </xf>
    <xf numFmtId="0" fontId="11" fillId="0" borderId="3" xfId="4456" applyFont="1" applyBorder="1" applyAlignment="1">
      <alignment vertical="top" wrapText="1"/>
    </xf>
    <xf numFmtId="0" fontId="11" fillId="0" borderId="4" xfId="4456" applyFont="1" applyBorder="1" applyAlignment="1">
      <alignment vertical="top" wrapText="1"/>
    </xf>
    <xf numFmtId="166" fontId="88" fillId="0" borderId="4" xfId="4456" applyNumberFormat="1" applyFont="1" applyBorder="1" applyAlignment="1">
      <alignment horizontal="right"/>
    </xf>
    <xf numFmtId="0" fontId="11" fillId="0" borderId="4" xfId="4456" applyFont="1" applyBorder="1"/>
    <xf numFmtId="0" fontId="10" fillId="0" borderId="5" xfId="4456" applyFont="1" applyBorder="1" applyAlignment="1">
      <alignment horizontal="right"/>
    </xf>
    <xf numFmtId="0" fontId="3" fillId="0" borderId="16" xfId="4456" applyFont="1" applyBorder="1"/>
    <xf numFmtId="0" fontId="3" fillId="0" borderId="16" xfId="4456" applyFont="1" applyBorder="1" applyAlignment="1">
      <alignment horizontal="left" vertical="top"/>
    </xf>
    <xf numFmtId="0" fontId="11" fillId="0" borderId="16" xfId="4456" applyFont="1" applyBorder="1" applyAlignment="1">
      <alignment horizontal="left" vertical="top" wrapText="1"/>
    </xf>
    <xf numFmtId="0" fontId="11" fillId="0" borderId="43" xfId="4456" applyFont="1" applyBorder="1" applyAlignment="1">
      <alignment horizontal="left" vertical="top" wrapText="1"/>
    </xf>
    <xf numFmtId="0" fontId="88" fillId="0" borderId="0" xfId="4456" applyFont="1"/>
    <xf numFmtId="0" fontId="4" fillId="0" borderId="0" xfId="211" applyAlignment="1">
      <alignment horizontal="left" vertical="top"/>
    </xf>
    <xf numFmtId="0" fontId="4" fillId="0" borderId="0" xfId="211" applyAlignment="1">
      <alignment horizontal="left" vertical="top" wrapText="1"/>
    </xf>
    <xf numFmtId="0" fontId="11" fillId="0" borderId="0" xfId="4456" applyFont="1" applyAlignment="1">
      <alignment horizontal="left" vertical="top" wrapText="1"/>
    </xf>
    <xf numFmtId="0" fontId="11" fillId="0" borderId="0" xfId="4456" applyFont="1" applyAlignment="1">
      <alignment horizontal="right" vertical="top"/>
    </xf>
    <xf numFmtId="0" fontId="3" fillId="0" borderId="0" xfId="4456" applyFont="1" applyAlignment="1">
      <alignment vertical="center" wrapText="1"/>
    </xf>
    <xf numFmtId="0" fontId="90" fillId="0" borderId="51" xfId="4457" applyFont="1" applyBorder="1" applyAlignment="1">
      <alignment vertical="top" wrapText="1"/>
    </xf>
    <xf numFmtId="0" fontId="90" fillId="0" borderId="0" xfId="4457" applyFont="1" applyAlignment="1">
      <alignment vertical="top" wrapText="1"/>
    </xf>
    <xf numFmtId="10" fontId="90" fillId="0" borderId="0" xfId="4457" applyNumberFormat="1" applyFont="1" applyAlignment="1">
      <alignment vertical="top" wrapText="1"/>
    </xf>
    <xf numFmtId="0" fontId="90" fillId="0" borderId="52" xfId="4457" applyFont="1" applyBorder="1" applyAlignment="1">
      <alignment vertical="top" wrapText="1"/>
    </xf>
    <xf numFmtId="0" fontId="90" fillId="0" borderId="0" xfId="4457" applyFont="1" applyAlignment="1">
      <alignment vertical="top"/>
    </xf>
    <xf numFmtId="169" fontId="90" fillId="0" borderId="0" xfId="4457" applyNumberFormat="1" applyFont="1" applyAlignment="1">
      <alignment vertical="top" wrapText="1"/>
    </xf>
    <xf numFmtId="0" fontId="10" fillId="0" borderId="55" xfId="4456" applyFont="1" applyBorder="1"/>
    <xf numFmtId="0" fontId="10" fillId="0" borderId="56" xfId="4456" applyFont="1" applyBorder="1"/>
    <xf numFmtId="0" fontId="10" fillId="0" borderId="56" xfId="4456" applyFont="1" applyBorder="1" applyAlignment="1">
      <alignment horizontal="right"/>
    </xf>
    <xf numFmtId="0" fontId="10" fillId="0" borderId="57" xfId="4456" applyFont="1" applyBorder="1" applyAlignment="1">
      <alignment horizontal="right"/>
    </xf>
    <xf numFmtId="0" fontId="90" fillId="0" borderId="51" xfId="4457" applyFont="1" applyBorder="1" applyAlignment="1">
      <alignment horizontal="left" vertical="top" wrapText="1"/>
    </xf>
    <xf numFmtId="0" fontId="90" fillId="0" borderId="0" xfId="4457" applyFont="1" applyAlignment="1">
      <alignment horizontal="left" vertical="top"/>
    </xf>
    <xf numFmtId="0" fontId="13" fillId="0" borderId="55" xfId="4456" applyFont="1" applyBorder="1" applyAlignment="1">
      <alignment horizontal="center" vertical="center"/>
    </xf>
    <xf numFmtId="0" fontId="13" fillId="0" borderId="56" xfId="4456" applyFont="1" applyBorder="1" applyAlignment="1">
      <alignment horizontal="center" vertical="center"/>
    </xf>
    <xf numFmtId="0" fontId="13" fillId="0" borderId="57" xfId="4456" applyFont="1" applyBorder="1" applyAlignment="1">
      <alignment horizontal="center" vertical="center"/>
    </xf>
    <xf numFmtId="0" fontId="10" fillId="0" borderId="0" xfId="4456" applyFont="1" applyAlignment="1">
      <alignment horizontal="center"/>
    </xf>
    <xf numFmtId="0" fontId="10" fillId="0" borderId="8" xfId="4456" applyFont="1" applyBorder="1"/>
    <xf numFmtId="0" fontId="11" fillId="0" borderId="0" xfId="4456" applyFont="1" applyAlignment="1">
      <alignment horizontal="left"/>
    </xf>
    <xf numFmtId="0" fontId="10" fillId="0" borderId="0" xfId="4456" applyFont="1" applyAlignment="1">
      <alignment horizontal="center" vertical="top"/>
    </xf>
    <xf numFmtId="0" fontId="3" fillId="0" borderId="0" xfId="4456" applyFont="1" applyAlignment="1">
      <alignment horizontal="center"/>
    </xf>
    <xf numFmtId="0" fontId="19" fillId="0" borderId="0" xfId="4456" applyFont="1"/>
    <xf numFmtId="0" fontId="11" fillId="0" borderId="8" xfId="4456" applyFont="1" applyBorder="1"/>
    <xf numFmtId="0" fontId="38" fillId="0" borderId="8" xfId="4456" applyFont="1" applyBorder="1"/>
    <xf numFmtId="1" fontId="3" fillId="0" borderId="0" xfId="1153" applyNumberFormat="1" applyFont="1"/>
    <xf numFmtId="0" fontId="3" fillId="0" borderId="3" xfId="4456" applyFont="1" applyBorder="1"/>
    <xf numFmtId="0" fontId="3" fillId="0" borderId="4" xfId="4456" applyFont="1" applyBorder="1"/>
    <xf numFmtId="0" fontId="3" fillId="0" borderId="0" xfId="1153" applyFont="1" applyAlignment="1">
      <alignment wrapText="1"/>
    </xf>
    <xf numFmtId="0" fontId="11" fillId="0" borderId="0" xfId="4456" applyFont="1" applyAlignment="1">
      <alignment vertical="top" wrapText="1"/>
    </xf>
    <xf numFmtId="0" fontId="11" fillId="0" borderId="0" xfId="1153" applyFont="1"/>
    <xf numFmtId="0" fontId="3" fillId="0" borderId="0" xfId="4456" applyFont="1" applyAlignment="1">
      <alignment horizontal="left"/>
    </xf>
    <xf numFmtId="0" fontId="11" fillId="0" borderId="3" xfId="4456" applyFont="1" applyBorder="1"/>
    <xf numFmtId="0" fontId="3" fillId="0" borderId="4" xfId="4456" applyFont="1" applyBorder="1" applyAlignment="1">
      <alignment horizontal="right"/>
    </xf>
    <xf numFmtId="1" fontId="3" fillId="0" borderId="0" xfId="4456" applyNumberFormat="1" applyFont="1" applyAlignment="1">
      <alignment horizontal="center"/>
    </xf>
    <xf numFmtId="0" fontId="38" fillId="0" borderId="0" xfId="4456" applyFont="1"/>
    <xf numFmtId="0" fontId="3" fillId="0" borderId="0" xfId="4456" applyFont="1" applyAlignment="1">
      <alignment horizontal="right"/>
    </xf>
    <xf numFmtId="0" fontId="11" fillId="0" borderId="0" xfId="4456" applyFont="1" applyAlignment="1">
      <alignment vertical="top"/>
    </xf>
    <xf numFmtId="0" fontId="11" fillId="0" borderId="25" xfId="4456" applyFont="1" applyBorder="1"/>
    <xf numFmtId="0" fontId="10" fillId="0" borderId="0" xfId="4456" applyFont="1" applyAlignment="1">
      <alignment vertical="top"/>
    </xf>
    <xf numFmtId="0" fontId="21" fillId="0" borderId="0" xfId="4456" applyFont="1" applyAlignment="1">
      <alignment vertical="top" wrapText="1"/>
    </xf>
    <xf numFmtId="0" fontId="10" fillId="0" borderId="0" xfId="4456" applyFont="1" applyAlignment="1">
      <alignment horizontal="left" vertical="top" wrapText="1"/>
    </xf>
    <xf numFmtId="0" fontId="3" fillId="0" borderId="0" xfId="4456" applyFont="1" applyAlignment="1">
      <alignment horizontal="left" vertical="top"/>
    </xf>
    <xf numFmtId="0" fontId="21" fillId="0" borderId="0" xfId="4456" applyFont="1" applyAlignment="1">
      <alignment vertical="top"/>
    </xf>
    <xf numFmtId="0" fontId="3" fillId="0" borderId="10" xfId="4456" applyFont="1" applyBorder="1" applyAlignment="1">
      <alignment horizontal="center"/>
    </xf>
    <xf numFmtId="0" fontId="3" fillId="0" borderId="16" xfId="4456" applyFont="1" applyBorder="1" applyAlignment="1">
      <alignment horizontal="center"/>
    </xf>
    <xf numFmtId="0" fontId="19" fillId="0" borderId="16" xfId="4456" applyFont="1" applyBorder="1"/>
    <xf numFmtId="0" fontId="11" fillId="0" borderId="16" xfId="4456" applyFont="1" applyBorder="1"/>
    <xf numFmtId="0" fontId="3" fillId="0" borderId="0" xfId="4457" applyFont="1" applyAlignment="1">
      <alignment vertical="top" wrapText="1"/>
    </xf>
    <xf numFmtId="0" fontId="10" fillId="0" borderId="0" xfId="1153" applyFont="1" applyAlignment="1">
      <alignment horizontal="right"/>
    </xf>
    <xf numFmtId="0" fontId="3" fillId="0" borderId="0" xfId="4457" applyFont="1"/>
    <xf numFmtId="0" fontId="3" fillId="0" borderId="0" xfId="4457" applyFont="1" applyAlignment="1">
      <alignment horizontal="left"/>
    </xf>
    <xf numFmtId="0" fontId="3" fillId="0" borderId="0" xfId="4457" applyFont="1" applyAlignment="1">
      <alignment horizontal="right"/>
    </xf>
    <xf numFmtId="0" fontId="11" fillId="0" borderId="0" xfId="4457" applyFont="1" applyAlignment="1">
      <alignment vertical="top" wrapText="1"/>
    </xf>
    <xf numFmtId="0" fontId="3" fillId="0" borderId="4" xfId="4457" applyFont="1" applyBorder="1"/>
    <xf numFmtId="0" fontId="10" fillId="0" borderId="4" xfId="4457" applyFont="1" applyBorder="1" applyAlignment="1">
      <alignment horizontal="right"/>
    </xf>
    <xf numFmtId="0" fontId="11" fillId="0" borderId="25" xfId="4456" applyFont="1" applyBorder="1" applyAlignment="1">
      <alignment horizontal="left" vertical="top"/>
    </xf>
    <xf numFmtId="0" fontId="3" fillId="0" borderId="25" xfId="4456" applyFont="1" applyBorder="1" applyAlignment="1">
      <alignment horizontal="left" vertical="top"/>
    </xf>
    <xf numFmtId="0" fontId="10" fillId="0" borderId="25" xfId="4456" applyFont="1" applyBorder="1" applyAlignment="1">
      <alignment horizontal="right"/>
    </xf>
    <xf numFmtId="0" fontId="3" fillId="0" borderId="25" xfId="4456" applyFont="1" applyBorder="1" applyAlignment="1">
      <alignment horizontal="center"/>
    </xf>
    <xf numFmtId="0" fontId="3" fillId="0" borderId="44" xfId="4456" applyFont="1" applyBorder="1" applyAlignment="1">
      <alignment horizontal="center"/>
    </xf>
    <xf numFmtId="166" fontId="11" fillId="0" borderId="0" xfId="4456" applyNumberFormat="1" applyFont="1" applyAlignment="1">
      <alignment horizontal="left" vertical="top" wrapText="1"/>
    </xf>
    <xf numFmtId="0" fontId="14" fillId="0" borderId="0" xfId="4456" applyFont="1"/>
    <xf numFmtId="0" fontId="11" fillId="0" borderId="0" xfId="4456" applyFont="1" applyAlignment="1">
      <alignment horizontal="right"/>
    </xf>
    <xf numFmtId="0" fontId="3" fillId="0" borderId="25" xfId="507" applyFont="1" applyBorder="1"/>
    <xf numFmtId="0" fontId="3" fillId="0" borderId="44" xfId="507" applyFont="1" applyBorder="1"/>
    <xf numFmtId="0" fontId="10" fillId="0" borderId="0" xfId="4456" applyFont="1" applyAlignment="1">
      <alignment horizontal="left" vertical="top"/>
    </xf>
    <xf numFmtId="1" fontId="88" fillId="0" borderId="0" xfId="4456" applyNumberFormat="1" applyFont="1"/>
    <xf numFmtId="0" fontId="3" fillId="0" borderId="0" xfId="4456" applyFont="1" applyAlignment="1">
      <alignment vertical="top" wrapText="1"/>
    </xf>
    <xf numFmtId="0" fontId="3" fillId="0" borderId="0" xfId="4456" applyFont="1" applyAlignment="1">
      <alignment horizontal="left" vertical="top" wrapText="1"/>
    </xf>
    <xf numFmtId="0" fontId="3" fillId="0" borderId="48" xfId="4456" applyFont="1" applyBorder="1" applyAlignment="1">
      <alignment vertical="top"/>
    </xf>
    <xf numFmtId="1" fontId="11" fillId="0" borderId="8" xfId="4456" applyNumberFormat="1" applyFont="1" applyBorder="1"/>
    <xf numFmtId="0" fontId="3" fillId="0" borderId="0" xfId="507" applyFont="1" applyAlignment="1">
      <alignment vertical="top"/>
    </xf>
    <xf numFmtId="0" fontId="11" fillId="0" borderId="49" xfId="4456" applyFont="1" applyBorder="1" applyAlignment="1">
      <alignment horizontal="left" vertical="top"/>
    </xf>
    <xf numFmtId="0" fontId="11" fillId="0" borderId="50" xfId="4456" applyFont="1" applyBorder="1" applyAlignment="1">
      <alignment horizontal="left" vertical="top"/>
    </xf>
    <xf numFmtId="0" fontId="88" fillId="0" borderId="0" xfId="4456" applyFont="1" applyAlignment="1" applyProtection="1">
      <alignment horizontal="center"/>
      <protection locked="0"/>
    </xf>
    <xf numFmtId="0" fontId="3" fillId="0" borderId="51" xfId="4456" applyFont="1" applyBorder="1" applyAlignment="1">
      <alignment vertical="top"/>
    </xf>
    <xf numFmtId="0" fontId="3" fillId="0" borderId="52" xfId="4456" applyFont="1" applyBorder="1" applyAlignment="1">
      <alignment vertical="top" wrapText="1"/>
    </xf>
    <xf numFmtId="0" fontId="46" fillId="0" borderId="51" xfId="4456" applyFont="1" applyBorder="1"/>
    <xf numFmtId="0" fontId="11" fillId="0" borderId="52" xfId="4456" applyFont="1" applyBorder="1" applyAlignment="1">
      <alignment horizontal="left" vertical="top"/>
    </xf>
    <xf numFmtId="0" fontId="3" fillId="0" borderId="51" xfId="4456" applyFont="1" applyBorder="1" applyAlignment="1">
      <alignment vertical="center" wrapText="1"/>
    </xf>
    <xf numFmtId="0" fontId="46" fillId="0" borderId="55" xfId="4456" applyFont="1" applyBorder="1"/>
    <xf numFmtId="0" fontId="11" fillId="0" borderId="56" xfId="4456" applyFont="1" applyBorder="1" applyAlignment="1">
      <alignment horizontal="left" vertical="top"/>
    </xf>
    <xf numFmtId="0" fontId="11" fillId="0" borderId="12" xfId="4456" applyFont="1" applyBorder="1"/>
    <xf numFmtId="0" fontId="3" fillId="0" borderId="55" xfId="4456" applyFont="1" applyBorder="1" applyAlignment="1">
      <alignment vertical="center"/>
    </xf>
    <xf numFmtId="0" fontId="3" fillId="0" borderId="56" xfId="4456" applyFont="1" applyBorder="1" applyAlignment="1">
      <alignment vertical="top"/>
    </xf>
    <xf numFmtId="0" fontId="3" fillId="0" borderId="57" xfId="4456" applyFont="1" applyBorder="1" applyAlignment="1">
      <alignment vertical="top"/>
    </xf>
    <xf numFmtId="0" fontId="3" fillId="0" borderId="0" xfId="4456" applyFont="1" applyAlignment="1">
      <alignment vertical="top"/>
    </xf>
    <xf numFmtId="0" fontId="11" fillId="0" borderId="4" xfId="4456" applyFont="1" applyBorder="1" applyAlignment="1">
      <alignment horizontal="left" vertical="top"/>
    </xf>
    <xf numFmtId="0" fontId="3" fillId="0" borderId="4" xfId="4456" applyFont="1" applyBorder="1" applyAlignment="1">
      <alignment horizontal="left" vertical="top"/>
    </xf>
    <xf numFmtId="0" fontId="3" fillId="0" borderId="2" xfId="4456" applyFont="1" applyBorder="1"/>
    <xf numFmtId="0" fontId="11" fillId="0" borderId="2" xfId="4456" applyFont="1" applyBorder="1"/>
    <xf numFmtId="0" fontId="3" fillId="0" borderId="2" xfId="4456" applyFont="1" applyBorder="1" applyAlignment="1">
      <alignment horizontal="center"/>
    </xf>
    <xf numFmtId="0" fontId="11" fillId="0" borderId="7" xfId="4456" applyFont="1" applyBorder="1"/>
    <xf numFmtId="0" fontId="19" fillId="0" borderId="0" xfId="4456" applyFont="1" applyAlignment="1">
      <alignment horizontal="right"/>
    </xf>
    <xf numFmtId="0" fontId="93" fillId="0" borderId="0" xfId="4456" applyFont="1" applyAlignment="1">
      <alignment horizontal="left" vertical="top" wrapText="1"/>
    </xf>
    <xf numFmtId="0" fontId="19" fillId="0" borderId="0" xfId="4456" applyFont="1" applyAlignment="1">
      <alignment horizontal="left" vertical="top"/>
    </xf>
    <xf numFmtId="0" fontId="11" fillId="0" borderId="0" xfId="4456" quotePrefix="1" applyFont="1" applyAlignment="1">
      <alignment horizontal="right"/>
    </xf>
    <xf numFmtId="0" fontId="3" fillId="0" borderId="0" xfId="4458" applyFont="1"/>
    <xf numFmtId="0" fontId="11" fillId="0" borderId="0" xfId="4456" applyFont="1" applyAlignment="1">
      <alignment horizontal="left" vertical="top" wrapText="1" shrinkToFit="1"/>
    </xf>
    <xf numFmtId="0" fontId="88" fillId="0" borderId="0" xfId="4456" applyFont="1" applyAlignment="1">
      <alignment vertical="top" wrapText="1"/>
    </xf>
    <xf numFmtId="0" fontId="11" fillId="0" borderId="4" xfId="4456" applyFont="1" applyBorder="1" applyAlignment="1">
      <alignment horizontal="left" vertical="top" wrapText="1" shrinkToFit="1"/>
    </xf>
    <xf numFmtId="0" fontId="19" fillId="0" borderId="8" xfId="4456" applyFont="1" applyBorder="1"/>
    <xf numFmtId="0" fontId="11" fillId="0" borderId="0" xfId="4456" applyFont="1" applyAlignment="1">
      <alignment horizontal="center"/>
    </xf>
    <xf numFmtId="0" fontId="11" fillId="0" borderId="0" xfId="4456" quotePrefix="1" applyFont="1"/>
    <xf numFmtId="0" fontId="11" fillId="0" borderId="0" xfId="4456" applyFont="1" applyAlignment="1">
      <alignment horizontal="left" vertical="top" shrinkToFit="1"/>
    </xf>
    <xf numFmtId="0" fontId="33" fillId="0" borderId="0" xfId="4456" applyFont="1"/>
    <xf numFmtId="0" fontId="11" fillId="0" borderId="3" xfId="4456" applyFont="1" applyBorder="1" applyAlignment="1">
      <alignment horizontal="center"/>
    </xf>
    <xf numFmtId="0" fontId="88" fillId="0" borderId="8" xfId="4456" applyFont="1" applyBorder="1"/>
    <xf numFmtId="0" fontId="10" fillId="0" borderId="8" xfId="4456" applyFont="1" applyBorder="1" applyAlignment="1">
      <alignment vertical="top"/>
    </xf>
    <xf numFmtId="0" fontId="88" fillId="0" borderId="0" xfId="4456" applyFont="1" applyAlignment="1">
      <alignment vertical="top"/>
    </xf>
    <xf numFmtId="0" fontId="10" fillId="0" borderId="4" xfId="4456" applyFont="1" applyBorder="1" applyAlignment="1">
      <alignment horizontal="center" vertical="top"/>
    </xf>
    <xf numFmtId="0" fontId="93" fillId="0" borderId="0" xfId="4456" applyFont="1" applyAlignment="1">
      <alignment horizontal="left" vertical="top"/>
    </xf>
    <xf numFmtId="0" fontId="93" fillId="0" borderId="4" xfId="4456" applyFont="1" applyBorder="1" applyAlignment="1">
      <alignment horizontal="left" vertical="top"/>
    </xf>
    <xf numFmtId="168" fontId="3" fillId="0" borderId="0" xfId="4458" applyNumberFormat="1" applyFont="1"/>
    <xf numFmtId="1" fontId="11" fillId="0" borderId="0" xfId="4456" applyNumberFormat="1" applyFont="1" applyAlignment="1">
      <alignment horizontal="center" vertical="top"/>
    </xf>
    <xf numFmtId="0" fontId="95" fillId="0" borderId="0" xfId="4456" applyFont="1" applyAlignment="1">
      <alignment vertical="top" wrapText="1"/>
    </xf>
    <xf numFmtId="0" fontId="95" fillId="0" borderId="0" xfId="4456" applyFont="1" applyAlignment="1">
      <alignment horizontal="left" vertical="top" wrapText="1"/>
    </xf>
    <xf numFmtId="0" fontId="11" fillId="0" borderId="6" xfId="4456" applyFont="1" applyBorder="1"/>
    <xf numFmtId="1" fontId="11" fillId="0" borderId="8" xfId="4456" applyNumberFormat="1" applyFont="1" applyBorder="1" applyAlignment="1">
      <alignment horizontal="center" vertical="top"/>
    </xf>
    <xf numFmtId="0" fontId="88" fillId="0" borderId="12" xfId="4456" applyFont="1" applyBorder="1"/>
    <xf numFmtId="0" fontId="11" fillId="0" borderId="9" xfId="4456" applyFont="1" applyBorder="1"/>
    <xf numFmtId="0" fontId="88" fillId="0" borderId="10" xfId="4456" applyFont="1" applyBorder="1"/>
    <xf numFmtId="0" fontId="19" fillId="0" borderId="3" xfId="4456" applyFont="1" applyBorder="1"/>
    <xf numFmtId="0" fontId="10" fillId="0" borderId="4" xfId="4456" applyFont="1" applyBorder="1"/>
    <xf numFmtId="0" fontId="88" fillId="0" borderId="12" xfId="4456" applyFont="1" applyBorder="1" applyAlignment="1">
      <alignment vertical="top"/>
    </xf>
    <xf numFmtId="0" fontId="19" fillId="0" borderId="1" xfId="4456" applyFont="1" applyBorder="1"/>
    <xf numFmtId="0" fontId="95" fillId="0" borderId="2" xfId="4456" applyFont="1" applyBorder="1" applyAlignment="1">
      <alignment horizontal="left" wrapText="1"/>
    </xf>
    <xf numFmtId="0" fontId="95" fillId="0" borderId="2" xfId="4456" applyFont="1" applyBorder="1" applyAlignment="1">
      <alignment horizontal="left"/>
    </xf>
    <xf numFmtId="0" fontId="95" fillId="0" borderId="7" xfId="4456" applyFont="1" applyBorder="1" applyAlignment="1">
      <alignment horizontal="left" wrapText="1"/>
    </xf>
    <xf numFmtId="0" fontId="95" fillId="0" borderId="0" xfId="4456" applyFont="1" applyAlignment="1">
      <alignment horizontal="left" wrapText="1"/>
    </xf>
    <xf numFmtId="0" fontId="19" fillId="0" borderId="9" xfId="4456" applyFont="1" applyBorder="1"/>
    <xf numFmtId="0" fontId="11" fillId="0" borderId="10" xfId="4456" applyFont="1" applyBorder="1"/>
    <xf numFmtId="0" fontId="95" fillId="0" borderId="0" xfId="4456" applyFont="1" applyAlignment="1">
      <alignment wrapText="1"/>
    </xf>
    <xf numFmtId="0" fontId="19" fillId="0" borderId="9" xfId="4456" applyFont="1" applyBorder="1" applyAlignment="1">
      <alignment horizontal="center"/>
    </xf>
    <xf numFmtId="0" fontId="10" fillId="0" borderId="10" xfId="4456" applyFont="1" applyBorder="1"/>
    <xf numFmtId="0" fontId="21" fillId="0" borderId="0" xfId="4456" applyFont="1"/>
    <xf numFmtId="0" fontId="11" fillId="0" borderId="48" xfId="4456" applyFont="1" applyBorder="1"/>
    <xf numFmtId="0" fontId="11" fillId="0" borderId="49" xfId="4456" applyFont="1" applyBorder="1"/>
    <xf numFmtId="1" fontId="11" fillId="0" borderId="49" xfId="4456" quotePrefix="1" applyNumberFormat="1" applyFont="1" applyBorder="1" applyAlignment="1">
      <alignment horizontal="center" vertical="top"/>
    </xf>
    <xf numFmtId="0" fontId="10" fillId="0" borderId="49" xfId="4456" applyFont="1" applyBorder="1"/>
    <xf numFmtId="0" fontId="10" fillId="0" borderId="50" xfId="4456" applyFont="1" applyBorder="1" applyAlignment="1">
      <alignment horizontal="center"/>
    </xf>
    <xf numFmtId="0" fontId="3" fillId="0" borderId="51" xfId="4456" applyFont="1" applyBorder="1"/>
    <xf numFmtId="1" fontId="11" fillId="0" borderId="0" xfId="4456" quotePrefix="1" applyNumberFormat="1" applyFont="1" applyAlignment="1">
      <alignment horizontal="center" vertical="top"/>
    </xf>
    <xf numFmtId="0" fontId="10" fillId="0" borderId="52" xfId="4456" applyFont="1" applyBorder="1" applyAlignment="1">
      <alignment horizontal="center"/>
    </xf>
    <xf numFmtId="0" fontId="19" fillId="0" borderId="0" xfId="4456" applyFont="1" applyAlignment="1">
      <alignment vertical="top"/>
    </xf>
    <xf numFmtId="0" fontId="11" fillId="0" borderId="59" xfId="4456" applyFont="1" applyBorder="1"/>
    <xf numFmtId="0" fontId="88" fillId="0" borderId="56" xfId="4456" applyFont="1" applyBorder="1" applyAlignment="1">
      <alignment horizontal="center"/>
    </xf>
    <xf numFmtId="1" fontId="11" fillId="0" borderId="56" xfId="4456" quotePrefix="1" applyNumberFormat="1" applyFont="1" applyBorder="1" applyAlignment="1">
      <alignment horizontal="center" vertical="top"/>
    </xf>
    <xf numFmtId="0" fontId="19" fillId="0" borderId="56" xfId="4456" applyFont="1" applyBorder="1" applyAlignment="1">
      <alignment vertical="top"/>
    </xf>
    <xf numFmtId="0" fontId="11" fillId="0" borderId="56" xfId="4456" applyFont="1" applyBorder="1" applyAlignment="1">
      <alignment vertical="top" wrapText="1"/>
    </xf>
    <xf numFmtId="0" fontId="11" fillId="0" borderId="56" xfId="4456" applyFont="1" applyBorder="1"/>
    <xf numFmtId="0" fontId="10" fillId="0" borderId="56" xfId="4456" applyFont="1" applyBorder="1" applyAlignment="1">
      <alignment horizontal="center"/>
    </xf>
    <xf numFmtId="0" fontId="88" fillId="0" borderId="59" xfId="4456" applyFont="1" applyBorder="1"/>
    <xf numFmtId="0" fontId="88" fillId="0" borderId="0" xfId="4456" applyFont="1" applyAlignment="1">
      <alignment horizontal="center"/>
    </xf>
    <xf numFmtId="0" fontId="3" fillId="0" borderId="51" xfId="507" applyFont="1" applyBorder="1"/>
    <xf numFmtId="0" fontId="11" fillId="0" borderId="52" xfId="4456" applyFont="1" applyBorder="1"/>
    <xf numFmtId="0" fontId="3" fillId="0" borderId="56" xfId="507" applyFont="1" applyBorder="1"/>
    <xf numFmtId="1" fontId="11" fillId="0" borderId="56" xfId="4456" applyNumberFormat="1" applyFont="1" applyBorder="1" applyAlignment="1">
      <alignment horizontal="center" vertical="top"/>
    </xf>
    <xf numFmtId="0" fontId="19" fillId="0" borderId="56" xfId="4456" applyFont="1" applyBorder="1" applyAlignment="1">
      <alignment vertical="center"/>
    </xf>
    <xf numFmtId="0" fontId="88" fillId="0" borderId="56" xfId="4456" applyFont="1" applyBorder="1" applyAlignment="1">
      <alignment vertical="top" wrapText="1"/>
    </xf>
    <xf numFmtId="0" fontId="3" fillId="0" borderId="56" xfId="4456" applyFont="1" applyBorder="1"/>
    <xf numFmtId="0" fontId="19" fillId="0" borderId="0" xfId="4456" applyFont="1" applyAlignment="1">
      <alignment vertical="center"/>
    </xf>
    <xf numFmtId="0" fontId="11" fillId="0" borderId="51" xfId="4456" applyFont="1" applyBorder="1"/>
    <xf numFmtId="0" fontId="3" fillId="0" borderId="55" xfId="507" applyFont="1" applyBorder="1"/>
    <xf numFmtId="0" fontId="11" fillId="0" borderId="56" xfId="4456" applyFont="1" applyBorder="1" applyAlignment="1">
      <alignment vertical="top"/>
    </xf>
    <xf numFmtId="0" fontId="11" fillId="0" borderId="57" xfId="4456" applyFont="1" applyBorder="1"/>
    <xf numFmtId="0" fontId="11" fillId="0" borderId="55" xfId="4456" applyFont="1" applyBorder="1"/>
    <xf numFmtId="0" fontId="3" fillId="0" borderId="49" xfId="4456" applyFont="1" applyBorder="1"/>
    <xf numFmtId="0" fontId="11" fillId="0" borderId="50" xfId="4456" applyFont="1" applyBorder="1"/>
    <xf numFmtId="0" fontId="3" fillId="0" borderId="48" xfId="507" applyFont="1" applyBorder="1"/>
    <xf numFmtId="0" fontId="3" fillId="0" borderId="49" xfId="507" applyFont="1" applyBorder="1"/>
    <xf numFmtId="0" fontId="3" fillId="0" borderId="50" xfId="507" applyFont="1" applyBorder="1"/>
    <xf numFmtId="0" fontId="11" fillId="0" borderId="0" xfId="4456" applyFont="1" applyAlignment="1">
      <alignment wrapText="1"/>
    </xf>
    <xf numFmtId="0" fontId="10" fillId="0" borderId="52" xfId="4456" applyFont="1" applyBorder="1" applyAlignment="1">
      <alignment horizontal="center" vertical="top"/>
    </xf>
    <xf numFmtId="0" fontId="88" fillId="0" borderId="51" xfId="4456" applyFont="1" applyBorder="1" applyAlignment="1">
      <alignment horizontal="center"/>
    </xf>
    <xf numFmtId="2" fontId="11" fillId="0" borderId="0" xfId="4456" applyNumberFormat="1" applyFont="1" applyAlignment="1">
      <alignment horizontal="right"/>
    </xf>
    <xf numFmtId="2" fontId="11" fillId="0" borderId="8" xfId="4456" applyNumberFormat="1" applyFont="1" applyBorder="1" applyAlignment="1">
      <alignment horizontal="left"/>
    </xf>
    <xf numFmtId="0" fontId="11" fillId="0" borderId="8" xfId="4456" applyFont="1" applyBorder="1" applyAlignment="1">
      <alignment horizontal="right"/>
    </xf>
    <xf numFmtId="0" fontId="94" fillId="0" borderId="0" xfId="4456" applyFont="1"/>
    <xf numFmtId="0" fontId="88" fillId="0" borderId="55" xfId="4456" applyFont="1" applyBorder="1" applyAlignment="1">
      <alignment horizontal="center"/>
    </xf>
    <xf numFmtId="0" fontId="10" fillId="0" borderId="57" xfId="4456" applyFont="1" applyBorder="1" applyAlignment="1">
      <alignment horizontal="center"/>
    </xf>
    <xf numFmtId="9" fontId="11" fillId="0" borderId="0" xfId="4456" applyNumberFormat="1" applyFont="1" applyAlignment="1">
      <alignment horizontal="left"/>
    </xf>
    <xf numFmtId="0" fontId="3" fillId="0" borderId="17" xfId="507" applyFont="1" applyBorder="1"/>
    <xf numFmtId="0" fontId="3" fillId="0" borderId="16" xfId="507" applyFont="1" applyBorder="1"/>
    <xf numFmtId="0" fontId="3" fillId="0" borderId="49" xfId="4456" quotePrefix="1" applyFont="1" applyBorder="1" applyAlignment="1">
      <alignment horizontal="center" vertical="top"/>
    </xf>
    <xf numFmtId="0" fontId="11" fillId="0" borderId="51" xfId="4456" applyFont="1" applyBorder="1" applyAlignment="1">
      <alignment horizontal="left" vertical="top"/>
    </xf>
    <xf numFmtId="0" fontId="11" fillId="0" borderId="0" xfId="4456" applyFont="1" applyAlignment="1">
      <alignment horizontal="center" vertical="top"/>
    </xf>
    <xf numFmtId="0" fontId="11" fillId="0" borderId="55" xfId="4456" applyFont="1" applyBorder="1" applyAlignment="1">
      <alignment horizontal="left" vertical="top"/>
    </xf>
    <xf numFmtId="0" fontId="11" fillId="0" borderId="56" xfId="4456" applyFont="1" applyBorder="1" applyAlignment="1">
      <alignment horizontal="center" vertical="top"/>
    </xf>
    <xf numFmtId="0" fontId="88" fillId="0" borderId="56" xfId="4456" applyFont="1" applyBorder="1"/>
    <xf numFmtId="0" fontId="10" fillId="0" borderId="56" xfId="4456" applyFont="1" applyBorder="1" applyAlignment="1">
      <alignment vertical="top"/>
    </xf>
    <xf numFmtId="0" fontId="10" fillId="0" borderId="56" xfId="4456" applyFont="1" applyBorder="1" applyAlignment="1">
      <alignment horizontal="left" vertical="top"/>
    </xf>
    <xf numFmtId="0" fontId="10" fillId="0" borderId="49" xfId="4456" applyFont="1" applyBorder="1" applyAlignment="1">
      <alignment horizontal="left" vertical="top"/>
    </xf>
    <xf numFmtId="0" fontId="10" fillId="0" borderId="51" xfId="4456" applyFont="1" applyBorder="1" applyAlignment="1">
      <alignment horizontal="left" vertical="top"/>
    </xf>
    <xf numFmtId="0" fontId="38" fillId="0" borderId="0" xfId="4456" applyFont="1" applyAlignment="1">
      <alignment horizontal="left" vertical="top"/>
    </xf>
    <xf numFmtId="0" fontId="11" fillId="0" borderId="0" xfId="4456" quotePrefix="1" applyFont="1" applyAlignment="1">
      <alignment horizontal="center" vertical="top"/>
    </xf>
    <xf numFmtId="0" fontId="39" fillId="0" borderId="0" xfId="4456" applyFont="1" applyAlignment="1">
      <alignment horizontal="center"/>
    </xf>
    <xf numFmtId="0" fontId="39" fillId="0" borderId="0" xfId="4456" applyFont="1" applyAlignment="1">
      <alignment vertical="top"/>
    </xf>
    <xf numFmtId="0" fontId="77" fillId="0" borderId="0" xfId="4456" applyFont="1"/>
    <xf numFmtId="0" fontId="38" fillId="0" borderId="0" xfId="4456" applyFont="1" applyAlignment="1">
      <alignment vertical="top"/>
    </xf>
    <xf numFmtId="0" fontId="19" fillId="0" borderId="51" xfId="4456" applyFont="1" applyBorder="1"/>
    <xf numFmtId="2" fontId="11" fillId="0" borderId="8" xfId="4456" applyNumberFormat="1" applyFont="1" applyBorder="1" applyAlignment="1">
      <alignment horizontal="right"/>
    </xf>
    <xf numFmtId="0" fontId="10" fillId="0" borderId="48" xfId="4456" applyFont="1" applyBorder="1" applyAlignment="1">
      <alignment horizontal="left" vertical="top"/>
    </xf>
    <xf numFmtId="0" fontId="38" fillId="0" borderId="49" xfId="4456" applyFont="1" applyBorder="1" applyAlignment="1">
      <alignment horizontal="left" vertical="top"/>
    </xf>
    <xf numFmtId="0" fontId="88" fillId="0" borderId="51" xfId="4456" applyFont="1" applyBorder="1"/>
    <xf numFmtId="0" fontId="77" fillId="0" borderId="0" xfId="4456" applyFont="1" applyAlignment="1">
      <alignment horizontal="left" vertical="top"/>
    </xf>
    <xf numFmtId="1" fontId="10" fillId="0" borderId="56" xfId="4456" applyNumberFormat="1" applyFont="1" applyBorder="1" applyAlignment="1">
      <alignment vertical="top"/>
    </xf>
    <xf numFmtId="167" fontId="10" fillId="0" borderId="8" xfId="507" applyNumberFormat="1" applyFont="1" applyBorder="1"/>
    <xf numFmtId="167" fontId="10" fillId="0" borderId="0" xfId="507" applyNumberFormat="1" applyFont="1"/>
    <xf numFmtId="0" fontId="19" fillId="0" borderId="0" xfId="4456" applyFont="1" applyAlignment="1">
      <alignment wrapText="1"/>
    </xf>
    <xf numFmtId="0" fontId="19" fillId="0" borderId="0" xfId="4456" applyFont="1" applyAlignment="1">
      <alignment horizontal="center"/>
    </xf>
    <xf numFmtId="0" fontId="19" fillId="0" borderId="0" xfId="4456" applyFont="1" applyAlignment="1">
      <alignment vertical="center" wrapText="1"/>
    </xf>
    <xf numFmtId="171" fontId="11" fillId="0" borderId="0" xfId="4456" applyNumberFormat="1" applyFont="1" applyAlignment="1">
      <alignment horizontal="center"/>
    </xf>
    <xf numFmtId="1" fontId="11" fillId="0" borderId="0" xfId="4456" applyNumberFormat="1" applyFont="1" applyAlignment="1">
      <alignment horizontal="center"/>
    </xf>
    <xf numFmtId="0" fontId="10" fillId="0" borderId="49" xfId="4456" applyFont="1" applyBorder="1" applyAlignment="1">
      <alignment horizontal="center"/>
    </xf>
    <xf numFmtId="0" fontId="10" fillId="0" borderId="49" xfId="4456" applyFont="1" applyBorder="1" applyAlignment="1">
      <alignment vertical="top"/>
    </xf>
    <xf numFmtId="0" fontId="10" fillId="0" borderId="51" xfId="4456" applyFont="1" applyBorder="1"/>
    <xf numFmtId="0" fontId="3" fillId="0" borderId="52" xfId="507" applyFont="1" applyBorder="1"/>
    <xf numFmtId="49" fontId="11" fillId="0" borderId="0" xfId="4456" applyNumberFormat="1" applyFont="1" applyAlignment="1">
      <alignment horizontal="left" vertical="center" wrapText="1"/>
    </xf>
    <xf numFmtId="0" fontId="3" fillId="0" borderId="55" xfId="4456" applyFont="1" applyBorder="1"/>
    <xf numFmtId="1" fontId="3" fillId="0" borderId="0" xfId="4456" applyNumberFormat="1" applyFont="1" applyAlignment="1">
      <alignment vertical="center"/>
    </xf>
    <xf numFmtId="0" fontId="21" fillId="0" borderId="48" xfId="4456" applyFont="1" applyBorder="1"/>
    <xf numFmtId="0" fontId="11" fillId="0" borderId="49" xfId="4456" applyFont="1" applyBorder="1" applyAlignment="1">
      <alignment horizontal="center" vertical="top"/>
    </xf>
    <xf numFmtId="0" fontId="11" fillId="0" borderId="49" xfId="4456" applyFont="1" applyBorder="1" applyAlignment="1">
      <alignment vertical="top" wrapText="1"/>
    </xf>
    <xf numFmtId="0" fontId="11" fillId="0" borderId="49" xfId="4456" applyFont="1" applyBorder="1" applyAlignment="1">
      <alignment horizontal="left" vertical="top" wrapText="1"/>
    </xf>
    <xf numFmtId="0" fontId="3" fillId="0" borderId="0" xfId="4456" quotePrefix="1" applyFont="1" applyAlignment="1">
      <alignment horizontal="center" vertical="top"/>
    </xf>
    <xf numFmtId="1" fontId="11" fillId="0" borderId="0" xfId="4456" quotePrefix="1" applyNumberFormat="1" applyFont="1" applyAlignment="1">
      <alignment wrapText="1"/>
    </xf>
    <xf numFmtId="0" fontId="11" fillId="0" borderId="6" xfId="4456" applyFont="1" applyBorder="1" applyAlignment="1">
      <alignment horizontal="right"/>
    </xf>
    <xf numFmtId="0" fontId="90" fillId="0" borderId="0" xfId="4457" applyFont="1" applyAlignment="1">
      <alignment wrapText="1"/>
    </xf>
    <xf numFmtId="0" fontId="3" fillId="0" borderId="0" xfId="4457" applyFont="1" applyAlignment="1">
      <alignment wrapText="1"/>
    </xf>
    <xf numFmtId="0" fontId="19" fillId="0" borderId="49" xfId="4456" applyFont="1" applyBorder="1" applyAlignment="1">
      <alignment vertical="top"/>
    </xf>
    <xf numFmtId="0" fontId="3" fillId="0" borderId="49" xfId="4457" applyFont="1" applyBorder="1" applyAlignment="1">
      <alignment wrapText="1"/>
    </xf>
    <xf numFmtId="0" fontId="10" fillId="0" borderId="49" xfId="4456" applyFont="1" applyBorder="1" applyAlignment="1">
      <alignment horizontal="right"/>
    </xf>
    <xf numFmtId="0" fontId="3" fillId="0" borderId="50" xfId="4456" applyFont="1" applyBorder="1" applyAlignment="1">
      <alignment horizontal="center"/>
    </xf>
    <xf numFmtId="0" fontId="3" fillId="0" borderId="51" xfId="4456" applyFont="1" applyBorder="1" applyAlignment="1">
      <alignment horizontal="left" vertical="top"/>
    </xf>
    <xf numFmtId="0" fontId="3" fillId="0" borderId="52" xfId="4456" applyFont="1" applyBorder="1" applyAlignment="1">
      <alignment horizontal="left" vertical="top"/>
    </xf>
    <xf numFmtId="0" fontId="3" fillId="0" borderId="52" xfId="4456" applyFont="1" applyBorder="1" applyAlignment="1">
      <alignment horizontal="center"/>
    </xf>
    <xf numFmtId="0" fontId="3" fillId="0" borderId="57" xfId="4456" applyFont="1" applyBorder="1" applyAlignment="1">
      <alignment horizontal="center"/>
    </xf>
    <xf numFmtId="9" fontId="3" fillId="0" borderId="0" xfId="4457" applyNumberFormat="1" applyFont="1" applyAlignment="1">
      <alignment horizontal="center"/>
    </xf>
    <xf numFmtId="1" fontId="3" fillId="0" borderId="0" xfId="507" applyNumberFormat="1" applyFont="1"/>
    <xf numFmtId="0" fontId="11" fillId="0" borderId="1" xfId="4456" applyFont="1" applyBorder="1"/>
    <xf numFmtId="0" fontId="10" fillId="0" borderId="0" xfId="4456" applyFont="1" applyAlignment="1">
      <alignment horizontal="center" wrapText="1"/>
    </xf>
    <xf numFmtId="0" fontId="10" fillId="0" borderId="9" xfId="4456" applyFont="1" applyBorder="1" applyAlignment="1">
      <alignment horizontal="left"/>
    </xf>
    <xf numFmtId="0" fontId="10" fillId="0" borderId="3" xfId="4456" applyFont="1" applyBorder="1" applyAlignment="1">
      <alignment horizontal="left"/>
    </xf>
    <xf numFmtId="0" fontId="10" fillId="0" borderId="4" xfId="4456" applyFont="1" applyBorder="1" applyAlignment="1">
      <alignment horizontal="left"/>
    </xf>
    <xf numFmtId="0" fontId="3" fillId="0" borderId="2" xfId="4456" applyFont="1" applyBorder="1" applyAlignment="1">
      <alignment horizontal="left"/>
    </xf>
    <xf numFmtId="0" fontId="10" fillId="0" borderId="2" xfId="4456" applyFont="1" applyBorder="1" applyAlignment="1">
      <alignment horizontal="left"/>
    </xf>
    <xf numFmtId="0" fontId="10" fillId="0" borderId="5" xfId="4456" applyFont="1" applyBorder="1" applyAlignment="1">
      <alignment horizontal="left"/>
    </xf>
    <xf numFmtId="171" fontId="49" fillId="0" borderId="0" xfId="4456" applyNumberFormat="1" applyFont="1" applyAlignment="1">
      <alignment horizontal="center" vertical="center"/>
    </xf>
    <xf numFmtId="0" fontId="3" fillId="0" borderId="12" xfId="4456" applyFont="1" applyBorder="1" applyAlignment="1">
      <alignment vertical="top"/>
    </xf>
    <xf numFmtId="0" fontId="33" fillId="0" borderId="0" xfId="4456" applyFont="1" applyAlignment="1">
      <alignment vertical="top" wrapText="1"/>
    </xf>
    <xf numFmtId="0" fontId="3" fillId="0" borderId="49" xfId="4456" applyFont="1" applyBorder="1" applyAlignment="1">
      <alignment horizontal="left" vertical="top" wrapText="1"/>
    </xf>
    <xf numFmtId="0" fontId="3" fillId="0" borderId="49" xfId="4456" applyFont="1" applyBorder="1" applyAlignment="1">
      <alignment horizontal="right"/>
    </xf>
    <xf numFmtId="0" fontId="3" fillId="0" borderId="50" xfId="4456" applyFont="1" applyBorder="1" applyAlignment="1">
      <alignment horizontal="right"/>
    </xf>
    <xf numFmtId="0" fontId="3" fillId="0" borderId="52" xfId="4456" applyFont="1" applyBorder="1" applyAlignment="1">
      <alignment horizontal="right"/>
    </xf>
    <xf numFmtId="0" fontId="3" fillId="0" borderId="56" xfId="4456" applyFont="1" applyBorder="1" applyAlignment="1">
      <alignment horizontal="left" vertical="top" wrapText="1"/>
    </xf>
    <xf numFmtId="0" fontId="3" fillId="0" borderId="56" xfId="4456" applyFont="1" applyBorder="1" applyAlignment="1">
      <alignment horizontal="right"/>
    </xf>
    <xf numFmtId="0" fontId="3" fillId="0" borderId="57" xfId="4456" applyFont="1" applyBorder="1" applyAlignment="1">
      <alignment horizontal="right"/>
    </xf>
    <xf numFmtId="0" fontId="33" fillId="0" borderId="0" xfId="4456" applyFont="1" applyAlignment="1">
      <alignment horizontal="left" vertical="top" wrapText="1"/>
    </xf>
    <xf numFmtId="0" fontId="3" fillId="0" borderId="0" xfId="1153" applyFont="1" applyAlignment="1">
      <alignment horizontal="left" vertical="top"/>
    </xf>
    <xf numFmtId="0" fontId="21" fillId="0" borderId="0" xfId="1153" applyFont="1" applyAlignment="1">
      <alignment horizontal="left" vertical="top"/>
    </xf>
    <xf numFmtId="0" fontId="3" fillId="0" borderId="0" xfId="1153" applyFont="1" applyAlignment="1">
      <alignment vertical="top"/>
    </xf>
    <xf numFmtId="168" fontId="3" fillId="0" borderId="0" xfId="1153" applyNumberFormat="1" applyFont="1"/>
    <xf numFmtId="169" fontId="3" fillId="0" borderId="0" xfId="1153" applyNumberFormat="1" applyFont="1"/>
    <xf numFmtId="169" fontId="3" fillId="0" borderId="0" xfId="1153" applyNumberFormat="1" applyFont="1" applyAlignment="1">
      <alignment horizontal="right"/>
    </xf>
    <xf numFmtId="2" fontId="3" fillId="0" borderId="0" xfId="1153" applyNumberFormat="1" applyFont="1"/>
    <xf numFmtId="6" fontId="3" fillId="0" borderId="0" xfId="1153" applyNumberFormat="1" applyFont="1"/>
    <xf numFmtId="0" fontId="10" fillId="0" borderId="0" xfId="1153" applyFont="1"/>
    <xf numFmtId="0" fontId="33" fillId="0" borderId="0" xfId="1153" applyFont="1"/>
    <xf numFmtId="168" fontId="3" fillId="0" borderId="0" xfId="4456" applyNumberFormat="1" applyFont="1"/>
    <xf numFmtId="0" fontId="10" fillId="0" borderId="0" xfId="1153" applyFont="1" applyAlignment="1">
      <alignment vertical="center"/>
    </xf>
    <xf numFmtId="0" fontId="86" fillId="0" borderId="0" xfId="1153" applyFont="1" applyAlignment="1">
      <alignment horizontal="left"/>
    </xf>
    <xf numFmtId="0" fontId="83" fillId="0" borderId="0" xfId="1153" applyFont="1" applyAlignment="1">
      <alignment horizontal="left"/>
    </xf>
    <xf numFmtId="0" fontId="83" fillId="0" borderId="0" xfId="1153" applyFont="1" applyAlignment="1">
      <alignment horizontal="center"/>
    </xf>
    <xf numFmtId="168" fontId="3" fillId="0" borderId="0" xfId="1153" applyNumberFormat="1" applyFont="1" applyAlignment="1">
      <alignment horizontal="center"/>
    </xf>
    <xf numFmtId="9" fontId="3" fillId="0" borderId="0" xfId="1153" applyNumberFormat="1" applyFont="1"/>
    <xf numFmtId="0" fontId="3" fillId="0" borderId="0" xfId="1153" applyFont="1" applyAlignment="1">
      <alignment horizontal="right"/>
    </xf>
    <xf numFmtId="0" fontId="3" fillId="0" borderId="51" xfId="4456" applyFont="1" applyBorder="1" applyAlignment="1">
      <alignment horizontal="left"/>
    </xf>
    <xf numFmtId="6" fontId="10" fillId="0" borderId="0" xfId="1153" applyNumberFormat="1" applyFont="1" applyAlignment="1">
      <alignment horizontal="right"/>
    </xf>
    <xf numFmtId="169" fontId="3" fillId="0" borderId="0" xfId="4456" applyNumberFormat="1" applyFont="1"/>
    <xf numFmtId="0" fontId="39" fillId="0" borderId="4" xfId="4456" applyFont="1" applyBorder="1"/>
    <xf numFmtId="0" fontId="23" fillId="0" borderId="0" xfId="507" applyFont="1" applyAlignment="1">
      <alignment vertical="center" wrapText="1"/>
    </xf>
    <xf numFmtId="1" fontId="10" fillId="0" borderId="13" xfId="235" applyNumberFormat="1" applyFont="1" applyBorder="1"/>
    <xf numFmtId="1" fontId="12" fillId="0" borderId="13" xfId="235" applyNumberFormat="1" applyFont="1" applyBorder="1"/>
    <xf numFmtId="0" fontId="3" fillId="0" borderId="11" xfId="0" applyFont="1" applyBorder="1"/>
    <xf numFmtId="9" fontId="3" fillId="0" borderId="0" xfId="4456" applyNumberFormat="1" applyFont="1"/>
    <xf numFmtId="169" fontId="90" fillId="0" borderId="0" xfId="4457" applyNumberFormat="1" applyFont="1" applyAlignment="1">
      <alignment horizontal="center" vertical="top" wrapText="1"/>
    </xf>
    <xf numFmtId="168" fontId="90" fillId="0" borderId="0" xfId="4457" applyNumberFormat="1" applyFont="1" applyAlignment="1">
      <alignment vertical="top" wrapText="1"/>
    </xf>
    <xf numFmtId="169" fontId="90" fillId="0" borderId="62" xfId="4457" applyNumberFormat="1" applyFont="1" applyBorder="1" applyAlignment="1">
      <alignment horizontal="center" vertical="top" wrapText="1"/>
    </xf>
    <xf numFmtId="169" fontId="90" fillId="0" borderId="51" xfId="4457" applyNumberFormat="1" applyFont="1" applyBorder="1" applyAlignment="1">
      <alignment horizontal="left" vertical="top"/>
    </xf>
    <xf numFmtId="169" fontId="90" fillId="0" borderId="51" xfId="4457" applyNumberFormat="1" applyFont="1" applyBorder="1" applyAlignment="1">
      <alignment horizontal="center" vertical="top" wrapText="1"/>
    </xf>
    <xf numFmtId="168" fontId="90" fillId="0" borderId="0" xfId="4457" applyNumberFormat="1" applyFont="1" applyAlignment="1">
      <alignment vertical="top"/>
    </xf>
    <xf numFmtId="1" fontId="90" fillId="0" borderId="0" xfId="4457" applyNumberFormat="1" applyFont="1" applyAlignment="1">
      <alignment vertical="top" wrapText="1"/>
    </xf>
    <xf numFmtId="166" fontId="11" fillId="0" borderId="0" xfId="4456" applyNumberFormat="1" applyFont="1"/>
    <xf numFmtId="0" fontId="10" fillId="0" borderId="8" xfId="0" applyFont="1" applyBorder="1" applyAlignment="1">
      <alignment horizontal="center" vertical="center" wrapText="1"/>
    </xf>
    <xf numFmtId="0" fontId="1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01" fillId="0" borderId="48" xfId="1153" applyFont="1" applyBorder="1" applyAlignment="1">
      <alignment horizontal="left"/>
    </xf>
    <xf numFmtId="0" fontId="102" fillId="0" borderId="49" xfId="4456" applyFont="1" applyBorder="1" applyAlignment="1">
      <alignment vertical="top"/>
    </xf>
    <xf numFmtId="0" fontId="101" fillId="0" borderId="49" xfId="4456" applyFont="1" applyBorder="1" applyAlignment="1">
      <alignment vertical="top" wrapText="1"/>
    </xf>
    <xf numFmtId="0" fontId="102" fillId="0" borderId="49" xfId="4456" applyFont="1" applyBorder="1"/>
    <xf numFmtId="0" fontId="102" fillId="0" borderId="51" xfId="1153" applyFont="1" applyBorder="1" applyAlignment="1">
      <alignment horizontal="left"/>
    </xf>
    <xf numFmtId="0" fontId="102" fillId="0" borderId="0" xfId="4456" applyFont="1" applyAlignment="1">
      <alignment vertical="top"/>
    </xf>
    <xf numFmtId="0" fontId="101" fillId="0" borderId="0" xfId="4456" applyFont="1" applyAlignment="1">
      <alignment vertical="top" wrapText="1"/>
    </xf>
    <xf numFmtId="0" fontId="102" fillId="0" borderId="0" xfId="4456" applyFont="1"/>
    <xf numFmtId="0" fontId="101" fillId="0" borderId="51" xfId="1153" applyFont="1" applyBorder="1" applyAlignment="1">
      <alignment horizontal="left"/>
    </xf>
    <xf numFmtId="0" fontId="101" fillId="0" borderId="55" xfId="1153" applyFont="1" applyBorder="1" applyAlignment="1">
      <alignment horizontal="left"/>
    </xf>
    <xf numFmtId="0" fontId="102" fillId="0" borderId="56" xfId="4456" applyFont="1" applyBorder="1" applyAlignment="1">
      <alignment vertical="top"/>
    </xf>
    <xf numFmtId="0" fontId="101" fillId="0" borderId="56" xfId="4456" applyFont="1" applyBorder="1" applyAlignment="1">
      <alignment vertical="top" wrapText="1"/>
    </xf>
    <xf numFmtId="0" fontId="102" fillId="0" borderId="56" xfId="4456" applyFont="1" applyBorder="1"/>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10" fillId="0" borderId="7" xfId="0" applyFont="1" applyBorder="1" applyAlignment="1">
      <alignment horizontal="right"/>
    </xf>
    <xf numFmtId="0" fontId="0" fillId="0" borderId="0" xfId="0" applyAlignment="1" applyProtection="1">
      <alignment horizontal="left" vertical="top" wrapText="1"/>
      <protection locked="0"/>
    </xf>
    <xf numFmtId="0" fontId="3" fillId="0" borderId="9" xfId="0" applyFont="1" applyBorder="1" applyAlignment="1">
      <alignment horizontal="left"/>
    </xf>
    <xf numFmtId="0" fontId="3" fillId="0" borderId="6" xfId="0" applyFont="1" applyBorder="1"/>
    <xf numFmtId="0" fontId="3" fillId="0" borderId="9" xfId="0" applyFont="1" applyBorder="1"/>
    <xf numFmtId="0" fontId="36" fillId="0" borderId="0" xfId="0" applyFont="1" applyAlignment="1">
      <alignment horizontal="center"/>
    </xf>
    <xf numFmtId="0" fontId="9" fillId="0" borderId="0" xfId="0" applyFont="1" applyAlignment="1">
      <alignment horizontal="center" vertical="center" wrapText="1"/>
    </xf>
    <xf numFmtId="0" fontId="18" fillId="0" borderId="0" xfId="0" applyFont="1" applyAlignment="1">
      <alignment horizontal="center"/>
    </xf>
    <xf numFmtId="0" fontId="11" fillId="0" borderId="0" xfId="0" applyFont="1" applyAlignment="1">
      <alignment horizontal="center"/>
    </xf>
    <xf numFmtId="0" fontId="10" fillId="0" borderId="3" xfId="0" applyFont="1" applyBorder="1"/>
    <xf numFmtId="0" fontId="10" fillId="0" borderId="4" xfId="235" applyFont="1" applyBorder="1"/>
    <xf numFmtId="0" fontId="10" fillId="0" borderId="3" xfId="235" applyFont="1" applyBorder="1"/>
    <xf numFmtId="0" fontId="10" fillId="0" borderId="5" xfId="235" applyFont="1" applyBorder="1"/>
    <xf numFmtId="0" fontId="3" fillId="0" borderId="56" xfId="4456" applyFont="1" applyBorder="1" applyAlignment="1">
      <alignment vertical="center" wrapText="1"/>
    </xf>
    <xf numFmtId="0" fontId="3" fillId="0" borderId="57" xfId="4456" applyFont="1" applyBorder="1" applyAlignment="1">
      <alignment vertical="center" wrapText="1"/>
    </xf>
    <xf numFmtId="0" fontId="3" fillId="0" borderId="0" xfId="4456" applyFont="1" applyAlignment="1">
      <alignment horizontal="left" vertical="center" wrapText="1"/>
    </xf>
    <xf numFmtId="0" fontId="10" fillId="0" borderId="5" xfId="0" applyFont="1" applyBorder="1"/>
    <xf numFmtId="168" fontId="8" fillId="35" borderId="0" xfId="0" applyNumberFormat="1" applyFont="1" applyFill="1"/>
    <xf numFmtId="9" fontId="11" fillId="0" borderId="0" xfId="507" applyNumberFormat="1" applyFont="1" applyAlignment="1">
      <alignment horizontal="center"/>
    </xf>
    <xf numFmtId="172" fontId="3" fillId="0" borderId="0" xfId="507" applyNumberFormat="1" applyFont="1"/>
    <xf numFmtId="172" fontId="3" fillId="0" borderId="11" xfId="507" applyNumberFormat="1" applyFont="1" applyBorder="1"/>
    <xf numFmtId="1" fontId="3" fillId="0" borderId="11" xfId="507" applyNumberFormat="1" applyFont="1" applyBorder="1" applyAlignment="1">
      <alignment horizontal="center"/>
    </xf>
    <xf numFmtId="0" fontId="29" fillId="0" borderId="8" xfId="507" applyFont="1" applyBorder="1" applyAlignment="1">
      <alignment vertical="center" wrapText="1"/>
    </xf>
    <xf numFmtId="0" fontId="29" fillId="0" borderId="0" xfId="507" applyFont="1" applyAlignment="1">
      <alignment vertical="center" wrapText="1"/>
    </xf>
    <xf numFmtId="0" fontId="29" fillId="0" borderId="12" xfId="507" applyFont="1" applyBorder="1" applyAlignment="1">
      <alignment vertical="center" wrapText="1"/>
    </xf>
    <xf numFmtId="0" fontId="29" fillId="0" borderId="9" xfId="507" applyFont="1" applyBorder="1" applyAlignment="1">
      <alignment vertical="center" wrapText="1"/>
    </xf>
    <xf numFmtId="0" fontId="29" fillId="0" borderId="6" xfId="507" applyFont="1" applyBorder="1" applyAlignment="1">
      <alignment vertical="center" wrapText="1"/>
    </xf>
    <xf numFmtId="0" fontId="29" fillId="0" borderId="10" xfId="507" applyFont="1" applyBorder="1" applyAlignment="1">
      <alignment vertical="center" wrapText="1"/>
    </xf>
    <xf numFmtId="0" fontId="30" fillId="0" borderId="8" xfId="507" applyFont="1" applyBorder="1" applyAlignment="1">
      <alignment vertical="center" wrapText="1"/>
    </xf>
    <xf numFmtId="0" fontId="30" fillId="0" borderId="0" xfId="507" applyFont="1" applyAlignment="1">
      <alignment vertical="center" wrapText="1"/>
    </xf>
    <xf numFmtId="0" fontId="30" fillId="0" borderId="12" xfId="507" applyFont="1" applyBorder="1" applyAlignment="1">
      <alignment vertical="center" wrapText="1"/>
    </xf>
    <xf numFmtId="0" fontId="30" fillId="0" borderId="9" xfId="507" applyFont="1" applyBorder="1" applyAlignment="1">
      <alignment vertical="center" wrapText="1"/>
    </xf>
    <xf numFmtId="0" fontId="30" fillId="0" borderId="6" xfId="507" applyFont="1" applyBorder="1" applyAlignment="1">
      <alignment vertical="center" wrapText="1"/>
    </xf>
    <xf numFmtId="0" fontId="30" fillId="0" borderId="10" xfId="507" applyFont="1" applyBorder="1" applyAlignment="1">
      <alignment vertical="center" wrapText="1"/>
    </xf>
    <xf numFmtId="0" fontId="23" fillId="0" borderId="12" xfId="507" applyFont="1" applyBorder="1" applyAlignment="1">
      <alignment horizontal="center" vertical="top"/>
    </xf>
    <xf numFmtId="0" fontId="24" fillId="0" borderId="7" xfId="507" applyFont="1" applyBorder="1"/>
    <xf numFmtId="0" fontId="3" fillId="0" borderId="12" xfId="507" quotePrefix="1" applyFont="1" applyBorder="1"/>
    <xf numFmtId="0" fontId="38" fillId="0" borderId="2" xfId="530" applyFont="1" applyBorder="1" applyAlignment="1">
      <alignment vertical="top"/>
    </xf>
    <xf numFmtId="0" fontId="13" fillId="0" borderId="0" xfId="4456" applyFont="1"/>
    <xf numFmtId="0" fontId="3" fillId="0" borderId="0" xfId="4456" applyFont="1" applyAlignment="1">
      <alignment vertical="top" wrapText="1" shrinkToFit="1"/>
    </xf>
    <xf numFmtId="0" fontId="103" fillId="0" borderId="0" xfId="4456" applyFont="1"/>
    <xf numFmtId="166" fontId="3" fillId="0" borderId="0" xfId="1153" applyNumberFormat="1" applyFont="1" applyAlignment="1">
      <alignment horizontal="right"/>
    </xf>
    <xf numFmtId="166" fontId="3" fillId="0" borderId="0" xfId="4456" applyNumberFormat="1" applyFont="1" applyAlignment="1">
      <alignment horizontal="right"/>
    </xf>
    <xf numFmtId="0" fontId="3" fillId="0" borderId="0" xfId="4456" applyFont="1" applyAlignment="1">
      <alignment horizontal="left" vertical="top" wrapText="1" shrinkToFit="1"/>
    </xf>
    <xf numFmtId="0" fontId="3" fillId="0" borderId="6" xfId="4456" applyFont="1" applyBorder="1" applyAlignment="1">
      <alignment vertical="top" wrapText="1"/>
    </xf>
    <xf numFmtId="0" fontId="103" fillId="0" borderId="4" xfId="4456" applyFont="1" applyBorder="1"/>
    <xf numFmtId="0" fontId="3" fillId="0" borderId="4" xfId="4456" applyFont="1" applyBorder="1" applyAlignment="1">
      <alignment horizontal="left" vertical="top" wrapText="1" shrinkToFit="1"/>
    </xf>
    <xf numFmtId="0" fontId="13" fillId="0" borderId="0" xfId="4456" applyFont="1" applyAlignment="1">
      <alignment horizontal="left" vertical="top"/>
    </xf>
    <xf numFmtId="0" fontId="3" fillId="0" borderId="0" xfId="4456" applyFont="1" applyAlignment="1">
      <alignment vertical="center" wrapText="1" shrinkToFit="1"/>
    </xf>
    <xf numFmtId="0" fontId="3" fillId="0" borderId="0" xfId="4456" applyFont="1" applyAlignment="1">
      <alignment horizontal="left" vertical="top" shrinkToFit="1"/>
    </xf>
    <xf numFmtId="0" fontId="3" fillId="0" borderId="0" xfId="4456" applyFont="1" applyAlignment="1">
      <alignment horizontal="left" vertical="center" shrinkToFit="1"/>
    </xf>
    <xf numFmtId="0" fontId="13" fillId="0" borderId="4" xfId="4456" applyFont="1" applyBorder="1"/>
    <xf numFmtId="0" fontId="3" fillId="0" borderId="4" xfId="4456" applyFont="1" applyBorder="1" applyAlignment="1">
      <alignment horizontal="left" vertical="top" shrinkToFit="1"/>
    </xf>
    <xf numFmtId="0" fontId="3" fillId="0" borderId="0" xfId="4456" applyFont="1" applyAlignment="1">
      <alignment vertical="center"/>
    </xf>
    <xf numFmtId="0" fontId="9" fillId="0" borderId="0" xfId="4456" applyFont="1"/>
    <xf numFmtId="0" fontId="13" fillId="0" borderId="0" xfId="4456" applyFont="1" applyAlignment="1">
      <alignment horizontal="center"/>
    </xf>
    <xf numFmtId="0" fontId="3" fillId="0" borderId="4" xfId="4456" applyFont="1" applyBorder="1" applyAlignment="1">
      <alignment horizontal="left" vertical="top" wrapText="1"/>
    </xf>
    <xf numFmtId="44" fontId="3" fillId="0" borderId="0" xfId="668" applyFont="1" applyAlignment="1">
      <alignment horizontal="left" vertical="top" wrapText="1"/>
    </xf>
    <xf numFmtId="44" fontId="3" fillId="0" borderId="4" xfId="668" applyFont="1" applyBorder="1" applyAlignment="1">
      <alignment horizontal="left" vertical="top" wrapText="1"/>
    </xf>
    <xf numFmtId="166" fontId="21" fillId="0" borderId="0" xfId="4456" applyNumberFormat="1" applyFont="1" applyAlignment="1">
      <alignment horizontal="left"/>
    </xf>
    <xf numFmtId="0" fontId="13" fillId="0" borderId="0" xfId="4456" applyFont="1" applyAlignment="1">
      <alignment horizontal="left"/>
    </xf>
    <xf numFmtId="0" fontId="3" fillId="0" borderId="4" xfId="4456" applyFont="1" applyBorder="1" applyAlignment="1">
      <alignment vertical="top" wrapText="1"/>
    </xf>
    <xf numFmtId="0" fontId="13" fillId="0" borderId="4" xfId="4456" applyFont="1" applyBorder="1" applyAlignment="1">
      <alignment horizontal="left" vertical="top"/>
    </xf>
    <xf numFmtId="0" fontId="3" fillId="0" borderId="0" xfId="4456" applyFont="1" applyAlignment="1">
      <alignment horizontal="left" vertical="center" wrapText="1" shrinkToFit="1"/>
    </xf>
    <xf numFmtId="0" fontId="3" fillId="0" borderId="6" xfId="4456" applyFont="1" applyBorder="1" applyAlignment="1">
      <alignment horizontal="left" vertical="top" wrapText="1"/>
    </xf>
    <xf numFmtId="2" fontId="86" fillId="0" borderId="0" xfId="0" applyNumberFormat="1" applyFont="1" applyAlignment="1">
      <alignment horizontal="center"/>
    </xf>
    <xf numFmtId="9" fontId="3" fillId="0" borderId="0" xfId="4455" applyFont="1" applyAlignment="1">
      <alignment horizontal="center"/>
    </xf>
    <xf numFmtId="3" fontId="3" fillId="0" borderId="0" xfId="0" applyNumberFormat="1" applyFont="1"/>
    <xf numFmtId="10" fontId="3" fillId="0" borderId="0" xfId="0" applyNumberFormat="1" applyFont="1" applyAlignment="1">
      <alignment horizontal="center"/>
    </xf>
    <xf numFmtId="168" fontId="3" fillId="0" borderId="0" xfId="0" applyNumberFormat="1" applyFont="1"/>
    <xf numFmtId="167" fontId="3" fillId="0" borderId="11" xfId="0" applyNumberFormat="1" applyFont="1" applyBorder="1" applyAlignment="1">
      <alignment horizontal="center"/>
    </xf>
    <xf numFmtId="168" fontId="3" fillId="5" borderId="0" xfId="0" applyNumberFormat="1" applyFont="1" applyFill="1"/>
    <xf numFmtId="3" fontId="3" fillId="5" borderId="0" xfId="0" applyNumberFormat="1" applyFont="1" applyFill="1"/>
    <xf numFmtId="0" fontId="3" fillId="5" borderId="0" xfId="0" applyFont="1" applyFill="1"/>
    <xf numFmtId="3" fontId="3" fillId="5" borderId="6" xfId="0" applyNumberFormat="1" applyFont="1" applyFill="1" applyBorder="1"/>
    <xf numFmtId="3" fontId="3" fillId="0" borderId="6" xfId="0" applyNumberFormat="1" applyFont="1" applyBorder="1"/>
    <xf numFmtId="168" fontId="3" fillId="0" borderId="0" xfId="0" applyNumberFormat="1" applyFont="1" applyAlignment="1">
      <alignment horizontal="center"/>
    </xf>
    <xf numFmtId="3" fontId="3" fillId="0" borderId="0" xfId="0" applyNumberFormat="1" applyFont="1" applyAlignment="1">
      <alignment horizontal="center"/>
    </xf>
    <xf numFmtId="0" fontId="3" fillId="0" borderId="48" xfId="4456" applyFont="1" applyBorder="1" applyAlignment="1">
      <alignment vertical="center"/>
    </xf>
    <xf numFmtId="0" fontId="3" fillId="0" borderId="49" xfId="4456" applyFont="1" applyBorder="1" applyAlignment="1">
      <alignment vertical="center"/>
    </xf>
    <xf numFmtId="0" fontId="3" fillId="0" borderId="50" xfId="4456" applyFont="1" applyBorder="1" applyAlignment="1">
      <alignment vertical="center"/>
    </xf>
    <xf numFmtId="0" fontId="3" fillId="0" borderId="52" xfId="4456" applyFont="1" applyBorder="1" applyAlignment="1">
      <alignment vertical="center" wrapText="1"/>
    </xf>
    <xf numFmtId="0" fontId="3" fillId="0" borderId="51" xfId="4456" applyFont="1" applyBorder="1" applyAlignment="1">
      <alignment vertical="top" wrapText="1"/>
    </xf>
    <xf numFmtId="9" fontId="3" fillId="0" borderId="0" xfId="507" applyNumberFormat="1" applyFont="1" applyAlignment="1">
      <alignment horizontal="center"/>
    </xf>
    <xf numFmtId="0" fontId="35" fillId="0" borderId="0" xfId="4457" applyFont="1"/>
    <xf numFmtId="168" fontId="38" fillId="5" borderId="11" xfId="0" applyNumberFormat="1" applyFont="1" applyFill="1" applyBorder="1" applyAlignment="1" applyProtection="1">
      <alignment vertical="top" wrapText="1"/>
      <protection locked="0"/>
    </xf>
    <xf numFmtId="0" fontId="3" fillId="0" borderId="0" xfId="0" applyFont="1" applyAlignment="1">
      <alignment horizontal="left" wrapText="1"/>
    </xf>
    <xf numFmtId="4" fontId="21" fillId="0" borderId="0" xfId="0" applyNumberFormat="1" applyFont="1" applyAlignment="1">
      <alignment horizontal="left"/>
    </xf>
    <xf numFmtId="4" fontId="3" fillId="0" borderId="0" xfId="0" applyNumberFormat="1" applyFont="1" applyAlignment="1">
      <alignment horizontal="left" vertical="top" wrapText="1"/>
    </xf>
    <xf numFmtId="0" fontId="10" fillId="0" borderId="4" xfId="0" applyFont="1" applyBorder="1" applyAlignment="1">
      <alignment horizontal="left"/>
    </xf>
    <xf numFmtId="4" fontId="3" fillId="0" borderId="0" xfId="0" applyNumberFormat="1" applyFont="1" applyAlignment="1">
      <alignment horizontal="left"/>
    </xf>
    <xf numFmtId="43" fontId="37" fillId="0" borderId="0" xfId="4464" applyFont="1" applyAlignment="1">
      <alignment horizontal="center"/>
    </xf>
    <xf numFmtId="43" fontId="3" fillId="0" borderId="0" xfId="4464" applyFont="1" applyAlignment="1">
      <alignment horizontal="center"/>
    </xf>
    <xf numFmtId="43" fontId="3" fillId="0" borderId="0" xfId="4464" applyFont="1"/>
    <xf numFmtId="49" fontId="3" fillId="0" borderId="0" xfId="0" applyNumberFormat="1" applyFont="1"/>
    <xf numFmtId="49" fontId="3" fillId="0" borderId="0" xfId="0" applyNumberFormat="1" applyFont="1" applyAlignment="1">
      <alignment horizontal="center"/>
    </xf>
    <xf numFmtId="4" fontId="3" fillId="0" borderId="0" xfId="0" applyNumberFormat="1" applyFont="1" applyAlignment="1">
      <alignment vertical="top" wrapText="1"/>
    </xf>
    <xf numFmtId="0" fontId="3" fillId="0" borderId="0" xfId="0" quotePrefix="1" applyFont="1"/>
    <xf numFmtId="0" fontId="33" fillId="0" borderId="0" xfId="0" applyFont="1" applyAlignment="1">
      <alignment horizontal="left"/>
    </xf>
    <xf numFmtId="0" fontId="3" fillId="0" borderId="4" xfId="0" applyFont="1" applyBorder="1" applyAlignment="1">
      <alignment horizontal="left"/>
    </xf>
    <xf numFmtId="0" fontId="3" fillId="0" borderId="0" xfId="0" quotePrefix="1" applyFont="1" applyAlignment="1">
      <alignment horizontal="left"/>
    </xf>
    <xf numFmtId="0" fontId="3" fillId="0" borderId="0" xfId="0" quotePrefix="1" applyFont="1" applyAlignment="1">
      <alignment horizontal="left" vertical="top"/>
    </xf>
    <xf numFmtId="0" fontId="33" fillId="0" borderId="0" xfId="1153" applyFont="1" applyAlignment="1">
      <alignment horizontal="left"/>
    </xf>
    <xf numFmtId="0" fontId="37" fillId="0" borderId="0" xfId="0" applyFont="1" applyAlignment="1">
      <alignment horizontal="center" vertical="center"/>
    </xf>
    <xf numFmtId="49" fontId="10" fillId="0" borderId="0" xfId="0" applyNumberFormat="1" applyFont="1" applyAlignment="1">
      <alignment horizontal="center" vertical="center"/>
    </xf>
    <xf numFmtId="49" fontId="3" fillId="0" borderId="0" xfId="0" applyNumberFormat="1" applyFont="1" applyAlignment="1">
      <alignment vertical="center"/>
    </xf>
    <xf numFmtId="4" fontId="3" fillId="0" borderId="0" xfId="0" applyNumberFormat="1" applyFont="1" applyAlignment="1">
      <alignment horizontal="center"/>
    </xf>
    <xf numFmtId="4" fontId="3" fillId="0" borderId="0" xfId="0" applyNumberFormat="1" applyFont="1"/>
    <xf numFmtId="10" fontId="3" fillId="0" borderId="0" xfId="4456" applyNumberFormat="1" applyFont="1"/>
    <xf numFmtId="10" fontId="90" fillId="0" borderId="0" xfId="4457" applyNumberFormat="1" applyFont="1" applyAlignment="1">
      <alignment horizontal="center" vertical="top" wrapText="1"/>
    </xf>
    <xf numFmtId="10" fontId="90" fillId="0" borderId="62" xfId="4457" applyNumberFormat="1" applyFont="1" applyBorder="1" applyAlignment="1">
      <alignment horizontal="center" vertical="top" wrapText="1"/>
    </xf>
    <xf numFmtId="10" fontId="90" fillId="0" borderId="51" xfId="4457"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3" fillId="0" borderId="0" xfId="1153" quotePrefix="1" applyNumberFormat="1" applyFont="1" applyAlignment="1">
      <alignment horizontal="center"/>
    </xf>
    <xf numFmtId="0" fontId="90" fillId="0" borderId="0" xfId="4456" applyFont="1"/>
    <xf numFmtId="10" fontId="90" fillId="0" borderId="0" xfId="4456" applyNumberFormat="1" applyFont="1"/>
    <xf numFmtId="167" fontId="3" fillId="0" borderId="0" xfId="4456" applyNumberFormat="1" applyFont="1"/>
    <xf numFmtId="0" fontId="26" fillId="0" borderId="0" xfId="0" applyFont="1" applyAlignment="1">
      <alignment horizontal="center"/>
    </xf>
    <xf numFmtId="0" fontId="22" fillId="0" borderId="0" xfId="0" applyFont="1" applyAlignment="1">
      <alignment horizontal="left"/>
    </xf>
    <xf numFmtId="0" fontId="0" fillId="0" borderId="10" xfId="0" applyBorder="1" applyAlignment="1">
      <alignment horizontal="left"/>
    </xf>
    <xf numFmtId="1" fontId="3" fillId="0" borderId="0" xfId="1153" applyNumberFormat="1" applyFont="1" applyAlignment="1">
      <alignment horizontal="center"/>
    </xf>
    <xf numFmtId="0" fontId="88" fillId="0" borderId="61" xfId="4456" applyFont="1" applyBorder="1"/>
    <xf numFmtId="0" fontId="38" fillId="0" borderId="0" xfId="235" applyFont="1" applyAlignment="1">
      <alignment vertical="top"/>
    </xf>
    <xf numFmtId="0" fontId="10" fillId="0" borderId="11" xfId="0" applyFont="1" applyBorder="1" applyAlignment="1">
      <alignment horizontal="right" vertical="top" wrapText="1"/>
    </xf>
    <xf numFmtId="0" fontId="12" fillId="0" borderId="11" xfId="235" applyFont="1" applyBorder="1" applyAlignment="1" applyProtection="1">
      <alignment horizontal="right" vertical="top" wrapText="1"/>
      <protection locked="0"/>
    </xf>
    <xf numFmtId="0" fontId="3" fillId="0" borderId="52" xfId="4456" applyFont="1" applyBorder="1" applyAlignment="1">
      <alignment vertical="top"/>
    </xf>
    <xf numFmtId="9" fontId="12" fillId="0" borderId="0" xfId="0" applyNumberFormat="1" applyFont="1"/>
    <xf numFmtId="0" fontId="3" fillId="0" borderId="16" xfId="530" applyFont="1" applyBorder="1" applyAlignment="1">
      <alignment horizontal="center"/>
    </xf>
    <xf numFmtId="166" fontId="3" fillId="0" borderId="55" xfId="4456" applyNumberFormat="1" applyFont="1" applyBorder="1" applyAlignment="1">
      <alignment vertical="top" wrapText="1"/>
    </xf>
    <xf numFmtId="166" fontId="3" fillId="0" borderId="56" xfId="4456" applyNumberFormat="1" applyFont="1" applyBorder="1" applyAlignment="1">
      <alignment vertical="top" wrapText="1"/>
    </xf>
    <xf numFmtId="166" fontId="3" fillId="0" borderId="57" xfId="4456" applyNumberFormat="1" applyFont="1" applyBorder="1" applyAlignment="1">
      <alignment vertical="top" wrapText="1"/>
    </xf>
    <xf numFmtId="0" fontId="10" fillId="0" borderId="0" xfId="1153" applyFont="1" applyAlignment="1">
      <alignment horizontal="left" vertical="top" wrapText="1"/>
    </xf>
    <xf numFmtId="0" fontId="3" fillId="0" borderId="16" xfId="530" applyFont="1" applyBorder="1"/>
    <xf numFmtId="0" fontId="3" fillId="0" borderId="4" xfId="530" applyFont="1" applyBorder="1"/>
    <xf numFmtId="0" fontId="10" fillId="0" borderId="4" xfId="530" applyFont="1" applyBorder="1"/>
    <xf numFmtId="49" fontId="3" fillId="0" borderId="4" xfId="530" applyNumberFormat="1" applyFont="1" applyBorder="1"/>
    <xf numFmtId="0" fontId="104" fillId="0" borderId="0" xfId="0" applyFont="1"/>
    <xf numFmtId="0" fontId="3" fillId="0" borderId="0" xfId="0" applyFont="1" applyAlignment="1">
      <alignment horizontal="right"/>
    </xf>
    <xf numFmtId="1" fontId="3" fillId="0" borderId="0" xfId="0" applyNumberFormat="1" applyFont="1" applyAlignment="1">
      <alignment horizontal="center"/>
    </xf>
    <xf numFmtId="0" fontId="10" fillId="0" borderId="0" xfId="0" applyFont="1" applyAlignment="1">
      <alignment horizontal="left" vertical="center"/>
    </xf>
    <xf numFmtId="0" fontId="3" fillId="0" borderId="0" xfId="0" applyFont="1" applyAlignment="1">
      <alignment horizontal="left" vertical="center"/>
    </xf>
    <xf numFmtId="0" fontId="10" fillId="0" borderId="0" xfId="530" applyFont="1" applyAlignment="1">
      <alignment vertical="top"/>
    </xf>
    <xf numFmtId="0" fontId="10" fillId="0" borderId="0" xfId="0" applyFont="1" applyAlignment="1">
      <alignment vertical="top" wrapText="1"/>
    </xf>
    <xf numFmtId="49" fontId="10" fillId="0" borderId="0" xfId="0" applyNumberFormat="1" applyFont="1"/>
    <xf numFmtId="49" fontId="10" fillId="0" borderId="0" xfId="0" applyNumberFormat="1" applyFont="1" applyAlignment="1">
      <alignment vertical="top"/>
    </xf>
    <xf numFmtId="0" fontId="26" fillId="0" borderId="11" xfId="0" applyFont="1" applyBorder="1"/>
    <xf numFmtId="173" fontId="3" fillId="0" borderId="0" xfId="507" applyNumberFormat="1" applyFont="1" applyAlignment="1">
      <alignment vertical="center"/>
    </xf>
    <xf numFmtId="0" fontId="69" fillId="35" borderId="6" xfId="4457" applyFont="1" applyFill="1" applyBorder="1" applyAlignment="1" applyProtection="1">
      <alignment horizontal="center"/>
      <protection locked="0"/>
    </xf>
    <xf numFmtId="0" fontId="69" fillId="0" borderId="0" xfId="4457" applyFont="1"/>
    <xf numFmtId="0" fontId="69" fillId="0" borderId="0" xfId="4457" applyFont="1" applyAlignment="1">
      <alignment wrapText="1"/>
    </xf>
    <xf numFmtId="0" fontId="97" fillId="0" borderId="0" xfId="4457" applyFont="1"/>
    <xf numFmtId="174" fontId="98" fillId="0" borderId="0" xfId="4459" applyNumberFormat="1" applyFont="1"/>
    <xf numFmtId="0" fontId="99" fillId="0" borderId="0" xfId="4457" applyFont="1" applyAlignment="1">
      <alignment vertical="center" wrapText="1"/>
    </xf>
    <xf numFmtId="49" fontId="69" fillId="0" borderId="0" xfId="4457" applyNumberFormat="1" applyFont="1" applyAlignment="1">
      <alignment horizontal="center"/>
    </xf>
    <xf numFmtId="175" fontId="69" fillId="0" borderId="6" xfId="4457" applyNumberFormat="1" applyFont="1" applyBorder="1"/>
    <xf numFmtId="0" fontId="69" fillId="0" borderId="0" xfId="4457" applyFont="1" applyAlignment="1">
      <alignment vertical="center"/>
    </xf>
    <xf numFmtId="175" fontId="69" fillId="0" borderId="0" xfId="4457" applyNumberFormat="1" applyFont="1" applyAlignment="1">
      <alignment vertical="center"/>
    </xf>
    <xf numFmtId="173" fontId="69" fillId="0" borderId="0" xfId="4460" applyNumberFormat="1" applyFont="1" applyAlignment="1">
      <alignment horizontal="left" vertical="center"/>
    </xf>
    <xf numFmtId="9" fontId="69" fillId="0" borderId="0" xfId="4460" applyFont="1" applyAlignment="1">
      <alignment vertical="center"/>
    </xf>
    <xf numFmtId="176" fontId="69" fillId="0" borderId="0" xfId="4457" applyNumberFormat="1" applyFont="1" applyAlignment="1">
      <alignment vertical="center" wrapText="1"/>
    </xf>
    <xf numFmtId="166" fontId="69" fillId="0" borderId="0" xfId="4457" applyNumberFormat="1" applyFont="1" applyAlignment="1">
      <alignment vertical="center" wrapText="1"/>
    </xf>
    <xf numFmtId="0" fontId="69" fillId="0" borderId="0" xfId="4457" applyFont="1" applyAlignment="1">
      <alignment horizontal="center" vertical="center"/>
    </xf>
    <xf numFmtId="175" fontId="69" fillId="0" borderId="11" xfId="8682" applyNumberFormat="1" applyFont="1" applyBorder="1"/>
    <xf numFmtId="175" fontId="69" fillId="0" borderId="11" xfId="4457" applyNumberFormat="1" applyFont="1" applyBorder="1"/>
    <xf numFmtId="166" fontId="69" fillId="0" borderId="0" xfId="4457" applyNumberFormat="1" applyFont="1" applyAlignment="1">
      <alignment wrapText="1"/>
    </xf>
    <xf numFmtId="49" fontId="69" fillId="0" borderId="0" xfId="4457" applyNumberFormat="1" applyFont="1" applyAlignment="1">
      <alignment horizontal="left"/>
    </xf>
    <xf numFmtId="0" fontId="100" fillId="0" borderId="0" xfId="4457" applyFont="1"/>
    <xf numFmtId="9" fontId="69" fillId="0" borderId="11" xfId="4455" applyFont="1" applyBorder="1" applyAlignment="1">
      <alignment horizontal="right"/>
    </xf>
    <xf numFmtId="1" fontId="69" fillId="0" borderId="0" xfId="4457" applyNumberFormat="1" applyFont="1"/>
    <xf numFmtId="0" fontId="97" fillId="37" borderId="3" xfId="4457" applyFont="1" applyFill="1" applyBorder="1" applyAlignment="1">
      <alignment horizontal="left" indent="1"/>
    </xf>
    <xf numFmtId="0" fontId="69" fillId="37" borderId="4" xfId="4457" applyFont="1" applyFill="1" applyBorder="1"/>
    <xf numFmtId="2" fontId="69" fillId="37" borderId="5" xfId="4457" applyNumberFormat="1" applyFont="1" applyFill="1" applyBorder="1"/>
    <xf numFmtId="174" fontId="69" fillId="0" borderId="0" xfId="4457" applyNumberFormat="1" applyFont="1"/>
    <xf numFmtId="169" fontId="98" fillId="0" borderId="0" xfId="4460" applyNumberFormat="1" applyFont="1"/>
    <xf numFmtId="9" fontId="69" fillId="0" borderId="0" xfId="4455" applyFont="1"/>
    <xf numFmtId="0" fontId="69" fillId="0" borderId="11" xfId="4457" applyFont="1" applyBorder="1" applyAlignment="1">
      <alignment horizontal="center"/>
    </xf>
    <xf numFmtId="2" fontId="69" fillId="0" borderId="11" xfId="4457" applyNumberFormat="1" applyFont="1" applyBorder="1" applyAlignment="1">
      <alignment horizontal="center"/>
    </xf>
    <xf numFmtId="0" fontId="69" fillId="0" borderId="0" xfId="4457" applyFont="1" applyAlignment="1">
      <alignment vertical="top" wrapText="1"/>
    </xf>
    <xf numFmtId="0" fontId="69" fillId="0" borderId="11" xfId="4457" applyFont="1" applyBorder="1" applyAlignment="1">
      <alignment horizontal="center" vertical="top" wrapText="1"/>
    </xf>
    <xf numFmtId="175" fontId="69" fillId="0" borderId="0" xfId="8682" applyNumberFormat="1" applyFont="1"/>
    <xf numFmtId="0" fontId="69" fillId="0" borderId="0" xfId="4457" applyFont="1" applyAlignment="1">
      <alignment horizontal="left" indent="1"/>
    </xf>
    <xf numFmtId="175" fontId="69" fillId="0" borderId="0" xfId="4457" applyNumberFormat="1" applyFont="1"/>
    <xf numFmtId="177" fontId="69" fillId="0" borderId="0" xfId="4457" applyNumberFormat="1" applyFont="1"/>
    <xf numFmtId="0" fontId="69" fillId="0" borderId="0" xfId="4457" applyFont="1" applyAlignment="1">
      <alignment horizontal="left"/>
    </xf>
    <xf numFmtId="0" fontId="69" fillId="0" borderId="0" xfId="4457" applyFont="1" applyAlignment="1">
      <alignment horizontal="center"/>
    </xf>
    <xf numFmtId="3" fontId="8" fillId="0" borderId="11" xfId="235" applyNumberFormat="1" applyFont="1" applyBorder="1" applyAlignment="1">
      <alignment horizontal="center"/>
    </xf>
    <xf numFmtId="3" fontId="8" fillId="35" borderId="11" xfId="235" applyNumberFormat="1" applyFont="1" applyFill="1" applyBorder="1" applyProtection="1">
      <protection locked="0"/>
    </xf>
    <xf numFmtId="0" fontId="69" fillId="0" borderId="0" xfId="4457" applyFont="1" applyAlignment="1">
      <alignment horizontal="right"/>
    </xf>
    <xf numFmtId="168" fontId="12" fillId="0" borderId="0" xfId="0" applyNumberFormat="1" applyFont="1"/>
    <xf numFmtId="0" fontId="69" fillId="0" borderId="15" xfId="4457" applyFont="1" applyBorder="1" applyAlignment="1">
      <alignment horizontal="center" vertical="top" wrapText="1"/>
    </xf>
    <xf numFmtId="2" fontId="69" fillId="0" borderId="15" xfId="4457" applyNumberFormat="1" applyFont="1" applyBorder="1" applyAlignment="1">
      <alignment horizontal="center"/>
    </xf>
    <xf numFmtId="0" fontId="69" fillId="0" borderId="15" xfId="4457" applyFont="1" applyBorder="1" applyAlignment="1">
      <alignment horizontal="center"/>
    </xf>
    <xf numFmtId="0" fontId="97" fillId="0" borderId="66" xfId="4457" applyFont="1" applyBorder="1" applyAlignment="1">
      <alignment horizontal="center" vertical="top" wrapText="1"/>
    </xf>
    <xf numFmtId="0" fontId="97" fillId="0" borderId="66" xfId="4457" applyFont="1" applyBorder="1" applyAlignment="1">
      <alignment horizontal="center"/>
    </xf>
    <xf numFmtId="0" fontId="106" fillId="0" borderId="0" xfId="4457" applyFont="1" applyAlignment="1">
      <alignment horizontal="right" vertical="center"/>
    </xf>
    <xf numFmtId="173" fontId="69" fillId="0" borderId="0" xfId="4460" applyNumberFormat="1" applyFont="1" applyAlignment="1">
      <alignment horizontal="right" vertical="center"/>
    </xf>
    <xf numFmtId="0" fontId="69" fillId="0" borderId="64" xfId="4457" applyFont="1" applyBorder="1" applyAlignment="1">
      <alignment vertical="center"/>
    </xf>
    <xf numFmtId="0" fontId="69" fillId="0" borderId="39" xfId="4457" applyFont="1" applyBorder="1" applyAlignment="1">
      <alignment vertical="center"/>
    </xf>
    <xf numFmtId="175" fontId="69" fillId="0" borderId="71" xfId="4457" applyNumberFormat="1" applyFont="1" applyBorder="1" applyAlignment="1">
      <alignment vertical="center"/>
    </xf>
    <xf numFmtId="173" fontId="69" fillId="0" borderId="40" xfId="4460" applyNumberFormat="1" applyFont="1" applyBorder="1" applyAlignment="1">
      <alignment horizontal="left" vertical="center"/>
    </xf>
    <xf numFmtId="0" fontId="69" fillId="0" borderId="40" xfId="4457" applyFont="1" applyBorder="1" applyAlignment="1">
      <alignment vertical="center"/>
    </xf>
    <xf numFmtId="0" fontId="69" fillId="0" borderId="42" xfId="4457" applyFont="1" applyBorder="1" applyAlignment="1">
      <alignment vertical="center"/>
    </xf>
    <xf numFmtId="49" fontId="69" fillId="0" borderId="0" xfId="4457" applyNumberFormat="1" applyFont="1" applyAlignment="1">
      <alignment horizontal="center" vertical="center"/>
    </xf>
    <xf numFmtId="0" fontId="69" fillId="0" borderId="63" xfId="4457" applyFont="1" applyBorder="1" applyAlignment="1">
      <alignment vertical="center"/>
    </xf>
    <xf numFmtId="0" fontId="69" fillId="0" borderId="27" xfId="4457" applyFont="1" applyBorder="1" applyAlignment="1">
      <alignment vertical="center"/>
    </xf>
    <xf numFmtId="0" fontId="69" fillId="0" borderId="27" xfId="4457" applyFont="1" applyBorder="1" applyAlignment="1">
      <alignment horizontal="right" vertical="center"/>
    </xf>
    <xf numFmtId="5" fontId="69" fillId="0" borderId="27" xfId="4457" applyNumberFormat="1" applyFont="1" applyBorder="1" applyAlignment="1">
      <alignment vertical="center"/>
    </xf>
    <xf numFmtId="0" fontId="69" fillId="0" borderId="29" xfId="4457" applyFont="1" applyBorder="1" applyAlignment="1">
      <alignment vertical="center"/>
    </xf>
    <xf numFmtId="173" fontId="97" fillId="0" borderId="40" xfId="4455" applyNumberFormat="1" applyFont="1" applyBorder="1" applyAlignment="1">
      <alignment horizontal="center" vertical="center"/>
    </xf>
    <xf numFmtId="0" fontId="97" fillId="0" borderId="27" xfId="4457" applyFont="1" applyBorder="1" applyAlignment="1">
      <alignment vertical="center"/>
    </xf>
    <xf numFmtId="0" fontId="97" fillId="0" borderId="0" xfId="4457" applyFont="1" applyAlignment="1">
      <alignment vertical="center"/>
    </xf>
    <xf numFmtId="0" fontId="97" fillId="0" borderId="40" xfId="4457" applyFont="1" applyBorder="1" applyAlignment="1">
      <alignment vertical="center"/>
    </xf>
    <xf numFmtId="9" fontId="97" fillId="0" borderId="40" xfId="4460" applyFont="1" applyBorder="1" applyAlignment="1">
      <alignment vertical="center"/>
    </xf>
    <xf numFmtId="175" fontId="97" fillId="0" borderId="66" xfId="8682" applyNumberFormat="1" applyFont="1" applyBorder="1"/>
    <xf numFmtId="175" fontId="97" fillId="0" borderId="66" xfId="4457" applyNumberFormat="1" applyFont="1" applyBorder="1"/>
    <xf numFmtId="0" fontId="106" fillId="0" borderId="0" xfId="4457" applyFont="1" applyAlignment="1">
      <alignment horizontal="right"/>
    </xf>
    <xf numFmtId="0" fontId="69" fillId="0" borderId="0" xfId="4457" applyFont="1" applyAlignment="1">
      <alignment horizontal="right" vertical="top" wrapText="1" indent="1"/>
    </xf>
    <xf numFmtId="175" fontId="69" fillId="0" borderId="6" xfId="8682" applyNumberFormat="1" applyFont="1" applyBorder="1" applyAlignment="1">
      <alignment horizontal="center"/>
    </xf>
    <xf numFmtId="0" fontId="69" fillId="0" borderId="0" xfId="4457" applyFont="1" applyAlignment="1">
      <alignment horizontal="right" indent="1"/>
    </xf>
    <xf numFmtId="0" fontId="69" fillId="0" borderId="0" xfId="4457" applyFont="1" applyAlignment="1">
      <alignment horizontal="right" vertical="top"/>
    </xf>
    <xf numFmtId="0" fontId="97" fillId="0" borderId="0" xfId="4457" applyFont="1" applyAlignment="1">
      <alignment horizontal="right"/>
    </xf>
    <xf numFmtId="175" fontId="97" fillId="0" borderId="0" xfId="8682" applyNumberFormat="1" applyFont="1" applyAlignment="1">
      <alignment horizontal="center"/>
    </xf>
    <xf numFmtId="10" fontId="69" fillId="0" borderId="0" xfId="4455" applyNumberFormat="1" applyFont="1" applyAlignment="1">
      <alignment horizontal="center"/>
    </xf>
    <xf numFmtId="177" fontId="69" fillId="0" borderId="6" xfId="4457" applyNumberFormat="1" applyFont="1" applyBorder="1"/>
    <xf numFmtId="0" fontId="97" fillId="0" borderId="0" xfId="4457" applyFont="1" applyAlignment="1">
      <alignment horizontal="right" vertical="top"/>
    </xf>
    <xf numFmtId="175" fontId="97" fillId="0" borderId="0" xfId="4457" applyNumberFormat="1" applyFont="1"/>
    <xf numFmtId="175" fontId="69" fillId="0" borderId="6" xfId="8682" applyNumberFormat="1" applyFont="1" applyBorder="1"/>
    <xf numFmtId="177" fontId="69" fillId="0" borderId="0" xfId="4457" applyNumberFormat="1" applyFont="1" applyAlignment="1">
      <alignment horizontal="center"/>
    </xf>
    <xf numFmtId="0" fontId="69" fillId="0" borderId="6" xfId="4457" applyFont="1" applyBorder="1" applyAlignment="1">
      <alignment horizontal="right" vertical="top" wrapText="1" indent="1"/>
    </xf>
    <xf numFmtId="0" fontId="69" fillId="0" borderId="65" xfId="4457" applyFont="1" applyBorder="1" applyAlignment="1">
      <alignment horizontal="right" indent="1"/>
    </xf>
    <xf numFmtId="0" fontId="69" fillId="0" borderId="70" xfId="4457" applyFont="1" applyBorder="1" applyAlignment="1">
      <alignment horizontal="right" indent="1"/>
    </xf>
    <xf numFmtId="0" fontId="69" fillId="0" borderId="70" xfId="4457" quotePrefix="1" applyFont="1" applyBorder="1" applyAlignment="1">
      <alignment horizontal="right" indent="1"/>
    </xf>
    <xf numFmtId="0" fontId="69" fillId="0" borderId="67" xfId="4457" applyFont="1" applyBorder="1" applyAlignment="1">
      <alignment horizontal="right" indent="1"/>
    </xf>
    <xf numFmtId="175" fontId="69" fillId="0" borderId="69" xfId="4457" applyNumberFormat="1" applyFont="1" applyBorder="1"/>
    <xf numFmtId="175" fontId="69" fillId="0" borderId="73" xfId="4457" applyNumberFormat="1" applyFont="1" applyBorder="1"/>
    <xf numFmtId="175" fontId="69" fillId="0" borderId="74" xfId="4457" applyNumberFormat="1" applyFont="1" applyBorder="1"/>
    <xf numFmtId="173" fontId="10" fillId="0" borderId="0" xfId="507" applyNumberFormat="1" applyFont="1" applyAlignment="1">
      <alignment vertical="center"/>
    </xf>
    <xf numFmtId="10" fontId="97" fillId="0" borderId="0" xfId="4455" applyNumberFormat="1" applyFont="1"/>
    <xf numFmtId="0" fontId="10" fillId="0" borderId="0" xfId="1153" applyFont="1" applyAlignment="1">
      <alignment horizontal="left" indent="1"/>
    </xf>
    <xf numFmtId="168" fontId="69" fillId="0" borderId="11" xfId="4460" applyNumberFormat="1" applyFont="1" applyBorder="1" applyAlignment="1">
      <alignment horizontal="left" vertical="center" indent="1"/>
    </xf>
    <xf numFmtId="168" fontId="97" fillId="0" borderId="66" xfId="4460" applyNumberFormat="1" applyFont="1" applyBorder="1" applyAlignment="1">
      <alignment horizontal="left" vertical="center" indent="1"/>
    </xf>
    <xf numFmtId="175" fontId="69" fillId="0" borderId="13" xfId="4457" applyNumberFormat="1" applyFont="1" applyBorder="1"/>
    <xf numFmtId="175" fontId="69" fillId="0" borderId="68" xfId="4457" applyNumberFormat="1" applyFont="1" applyBorder="1"/>
    <xf numFmtId="0" fontId="21" fillId="0" borderId="0" xfId="4456" applyFont="1" applyAlignment="1">
      <alignment vertical="center"/>
    </xf>
    <xf numFmtId="0" fontId="90" fillId="0" borderId="0" xfId="4457" applyFont="1" applyAlignment="1">
      <alignment vertical="center" wrapText="1"/>
    </xf>
    <xf numFmtId="0" fontId="8" fillId="35" borderId="0" xfId="1153" applyFont="1" applyFill="1"/>
    <xf numFmtId="3" fontId="53" fillId="35" borderId="6" xfId="1153" applyNumberFormat="1" applyFont="1" applyFill="1" applyBorder="1"/>
    <xf numFmtId="0" fontId="108" fillId="0" borderId="0" xfId="0" applyFont="1"/>
    <xf numFmtId="0" fontId="8" fillId="0" borderId="11" xfId="217" applyFont="1" applyBorder="1" applyAlignment="1" applyProtection="1">
      <alignment horizontal="center" wrapText="1"/>
      <protection locked="0"/>
    </xf>
    <xf numFmtId="0" fontId="109" fillId="0" borderId="0" xfId="0" applyFont="1"/>
    <xf numFmtId="0" fontId="110" fillId="0" borderId="0" xfId="0" applyFont="1" applyAlignment="1">
      <alignment horizontal="center"/>
    </xf>
    <xf numFmtId="0" fontId="38" fillId="5" borderId="11" xfId="0" applyFont="1" applyFill="1" applyBorder="1" applyAlignment="1" applyProtection="1">
      <alignment horizontal="right" vertical="top" wrapText="1"/>
      <protection locked="0"/>
    </xf>
    <xf numFmtId="0" fontId="3" fillId="35" borderId="3" xfId="530" applyFont="1" applyFill="1" applyBorder="1"/>
    <xf numFmtId="0" fontId="113" fillId="0" borderId="0" xfId="0" applyFont="1" applyAlignment="1">
      <alignment horizontal="right"/>
    </xf>
    <xf numFmtId="1" fontId="11" fillId="0" borderId="0" xfId="4456" applyNumberFormat="1" applyFont="1"/>
    <xf numFmtId="0" fontId="10" fillId="0" borderId="4" xfId="530" applyFont="1" applyBorder="1" applyAlignment="1">
      <alignment horizontal="center"/>
    </xf>
    <xf numFmtId="43" fontId="10" fillId="0" borderId="0" xfId="4464" applyFont="1" applyAlignment="1">
      <alignment horizontal="center"/>
    </xf>
    <xf numFmtId="0" fontId="10" fillId="0" borderId="0" xfId="530" applyFont="1" applyAlignment="1">
      <alignment horizontal="center" vertical="center"/>
    </xf>
    <xf numFmtId="0" fontId="10" fillId="0" borderId="16" xfId="530" applyFont="1" applyBorder="1" applyAlignment="1">
      <alignment horizontal="center"/>
    </xf>
    <xf numFmtId="49" fontId="10" fillId="0" borderId="4" xfId="530" applyNumberFormat="1" applyFont="1" applyBorder="1" applyAlignment="1">
      <alignment horizontal="center"/>
    </xf>
    <xf numFmtId="4" fontId="10" fillId="0" borderId="0" xfId="530" applyNumberFormat="1" applyFont="1" applyAlignment="1">
      <alignment horizontal="center"/>
    </xf>
    <xf numFmtId="0" fontId="3" fillId="0" borderId="0" xfId="530" applyFont="1" applyAlignment="1">
      <alignment horizontal="center" wrapText="1"/>
    </xf>
    <xf numFmtId="0" fontId="3" fillId="0" borderId="0" xfId="0" applyFont="1" applyAlignment="1">
      <alignment vertical="center" wrapText="1"/>
    </xf>
    <xf numFmtId="3" fontId="8" fillId="35" borderId="11" xfId="235" applyNumberFormat="1" applyFont="1" applyFill="1" applyBorder="1" applyAlignment="1" applyProtection="1">
      <alignment horizontal="left"/>
      <protection locked="0"/>
    </xf>
    <xf numFmtId="0" fontId="69" fillId="35" borderId="6" xfId="4457" applyFont="1" applyFill="1" applyBorder="1" applyProtection="1">
      <protection locked="0"/>
    </xf>
    <xf numFmtId="1" fontId="69" fillId="0" borderId="0" xfId="4457" applyNumberFormat="1" applyFont="1" applyProtection="1">
      <protection locked="0"/>
    </xf>
    <xf numFmtId="175" fontId="115" fillId="0" borderId="11" xfId="4457" applyNumberFormat="1" applyFont="1" applyBorder="1"/>
    <xf numFmtId="44" fontId="69" fillId="0" borderId="0" xfId="4457" applyNumberFormat="1" applyFont="1"/>
    <xf numFmtId="175" fontId="8" fillId="0" borderId="11" xfId="4457" applyNumberFormat="1" applyFont="1" applyBorder="1"/>
    <xf numFmtId="175" fontId="69" fillId="35" borderId="6" xfId="8682" applyNumberFormat="1" applyFont="1" applyFill="1" applyBorder="1" applyProtection="1">
      <protection locked="0"/>
    </xf>
    <xf numFmtId="0" fontId="3" fillId="0" borderId="0" xfId="4456" applyFont="1" applyAlignment="1">
      <alignment wrapText="1"/>
    </xf>
    <xf numFmtId="168" fontId="127" fillId="40" borderId="76" xfId="661" applyNumberFormat="1" applyFont="1" applyFill="1" applyBorder="1" applyProtection="1">
      <protection locked="0"/>
    </xf>
    <xf numFmtId="3" fontId="31" fillId="10" borderId="0" xfId="507" applyNumberFormat="1" applyFont="1" applyFill="1" applyAlignment="1">
      <alignment vertical="center" wrapText="1"/>
    </xf>
    <xf numFmtId="0" fontId="134" fillId="0" borderId="0" xfId="507" applyFont="1" applyAlignment="1">
      <alignment horizontal="left" vertical="center"/>
    </xf>
    <xf numFmtId="0" fontId="135" fillId="0" borderId="0" xfId="507" applyFont="1" applyAlignment="1">
      <alignment horizontal="right" vertical="top" wrapText="1"/>
    </xf>
    <xf numFmtId="168" fontId="135" fillId="0" borderId="0" xfId="507" applyNumberFormat="1" applyFont="1" applyAlignment="1">
      <alignment horizontal="center" vertical="center"/>
    </xf>
    <xf numFmtId="0" fontId="136" fillId="0" borderId="0" xfId="507" applyFont="1" applyAlignment="1">
      <alignment horizontal="left" vertical="center"/>
    </xf>
    <xf numFmtId="0" fontId="136" fillId="0" borderId="0" xfId="507" applyFont="1" applyAlignment="1">
      <alignment horizontal="right" vertical="top" wrapText="1"/>
    </xf>
    <xf numFmtId="168" fontId="135" fillId="0" borderId="96" xfId="507" applyNumberFormat="1" applyFont="1" applyBorder="1" applyAlignment="1">
      <alignment horizontal="center" vertical="center"/>
    </xf>
    <xf numFmtId="0" fontId="136" fillId="0" borderId="98" xfId="507" applyFont="1" applyBorder="1" applyAlignment="1">
      <alignment horizontal="right" vertical="top" wrapText="1"/>
    </xf>
    <xf numFmtId="0" fontId="10" fillId="0" borderId="0" xfId="4456" applyFont="1" applyAlignment="1">
      <alignment wrapText="1"/>
    </xf>
    <xf numFmtId="175" fontId="3" fillId="0" borderId="0" xfId="661" applyNumberFormat="1" applyFont="1"/>
    <xf numFmtId="9" fontId="3" fillId="0" borderId="0" xfId="983" applyFont="1"/>
    <xf numFmtId="168" fontId="3" fillId="0" borderId="101" xfId="0" applyNumberFormat="1" applyFont="1" applyBorder="1"/>
    <xf numFmtId="9" fontId="0" fillId="0" borderId="0" xfId="0" applyNumberFormat="1"/>
    <xf numFmtId="175" fontId="0" fillId="0" borderId="0" xfId="661" applyNumberFormat="1" applyFont="1" applyAlignment="1">
      <alignment horizontal="right"/>
    </xf>
    <xf numFmtId="175" fontId="0" fillId="0" borderId="11" xfId="661" applyNumberFormat="1" applyFont="1" applyBorder="1" applyAlignment="1">
      <alignment horizontal="right"/>
    </xf>
    <xf numFmtId="168" fontId="0" fillId="0" borderId="0" xfId="0" applyNumberFormat="1"/>
    <xf numFmtId="0" fontId="90" fillId="44" borderId="104" xfId="0" applyFont="1" applyFill="1" applyBorder="1"/>
    <xf numFmtId="0" fontId="90" fillId="45" borderId="104" xfId="0" applyFont="1" applyFill="1" applyBorder="1"/>
    <xf numFmtId="1" fontId="0" fillId="0" borderId="0" xfId="0" applyNumberFormat="1"/>
    <xf numFmtId="9" fontId="0" fillId="0" borderId="0" xfId="983" applyFont="1"/>
    <xf numFmtId="2" fontId="0" fillId="0" borderId="0" xfId="0" applyNumberFormat="1"/>
    <xf numFmtId="173" fontId="0" fillId="0" borderId="0" xfId="983" applyNumberFormat="1" applyFont="1"/>
    <xf numFmtId="9" fontId="3" fillId="0" borderId="0" xfId="0" applyNumberFormat="1" applyFont="1"/>
    <xf numFmtId="178" fontId="121" fillId="0" borderId="0" xfId="659" applyNumberFormat="1" applyFont="1"/>
    <xf numFmtId="0" fontId="137" fillId="0" borderId="0" xfId="0" applyFont="1" applyAlignment="1">
      <alignment horizontal="center"/>
    </xf>
    <xf numFmtId="0" fontId="3" fillId="0" borderId="0" xfId="530" quotePrefix="1" applyFont="1"/>
    <xf numFmtId="168" fontId="111" fillId="0" borderId="0" xfId="0" applyNumberFormat="1" applyFont="1" applyAlignment="1">
      <alignment vertical="center" wrapText="1"/>
    </xf>
    <xf numFmtId="168" fontId="138" fillId="0" borderId="0" xfId="0" applyNumberFormat="1" applyFont="1" applyAlignment="1">
      <alignment horizontal="center" vertical="center" wrapText="1"/>
    </xf>
    <xf numFmtId="0" fontId="0" fillId="0" borderId="0" xfId="0" applyAlignment="1">
      <alignment vertical="center"/>
    </xf>
    <xf numFmtId="0" fontId="10" fillId="0" borderId="0" xfId="4456" quotePrefix="1" applyFont="1"/>
    <xf numFmtId="0" fontId="10" fillId="0" borderId="0" xfId="4456" applyFont="1" applyAlignment="1">
      <alignment horizontal="left" vertical="center"/>
    </xf>
    <xf numFmtId="0" fontId="10" fillId="0" borderId="0" xfId="4456" applyFont="1" applyAlignment="1">
      <alignment vertical="center"/>
    </xf>
    <xf numFmtId="0" fontId="90" fillId="0" borderId="56" xfId="4457" applyFont="1" applyBorder="1" applyAlignment="1">
      <alignment vertical="center"/>
    </xf>
    <xf numFmtId="0" fontId="10" fillId="0" borderId="5" xfId="4456" applyFont="1" applyBorder="1"/>
    <xf numFmtId="175" fontId="69" fillId="0" borderId="6" xfId="4457" applyNumberFormat="1" applyFont="1" applyBorder="1" applyAlignment="1">
      <alignment vertical="center"/>
    </xf>
    <xf numFmtId="1" fontId="69" fillId="0" borderId="0" xfId="4457" applyNumberFormat="1" applyFont="1" applyAlignment="1">
      <alignment horizontal="right" vertical="top" wrapText="1" indent="1"/>
    </xf>
    <xf numFmtId="3" fontId="69" fillId="35" borderId="6" xfId="4457" applyNumberFormat="1" applyFont="1" applyFill="1" applyBorder="1" applyAlignment="1" applyProtection="1">
      <alignment horizontal="center"/>
      <protection locked="0"/>
    </xf>
    <xf numFmtId="0" fontId="2" fillId="0" borderId="0" xfId="8697" applyFont="1"/>
    <xf numFmtId="0" fontId="121" fillId="0" borderId="0" xfId="8697" applyFont="1"/>
    <xf numFmtId="0" fontId="74" fillId="0" borderId="0" xfId="8697" applyFont="1"/>
    <xf numFmtId="0" fontId="2" fillId="39" borderId="64" xfId="8697" applyFont="1" applyFill="1" applyBorder="1"/>
    <xf numFmtId="0" fontId="2" fillId="39" borderId="0" xfId="8697" applyFont="1" applyFill="1"/>
    <xf numFmtId="0" fontId="73" fillId="39" borderId="0" xfId="8697" applyFont="1" applyFill="1"/>
    <xf numFmtId="9" fontId="2" fillId="36" borderId="3" xfId="983" applyFont="1" applyFill="1" applyBorder="1" applyAlignment="1">
      <alignment horizontal="centerContinuous"/>
    </xf>
    <xf numFmtId="9" fontId="2" fillId="36" borderId="4" xfId="983" applyFont="1" applyFill="1" applyBorder="1" applyAlignment="1">
      <alignment horizontal="centerContinuous"/>
    </xf>
    <xf numFmtId="9" fontId="2" fillId="36" borderId="5" xfId="983" applyFont="1" applyFill="1" applyBorder="1" applyAlignment="1">
      <alignment horizontal="centerContinuous"/>
    </xf>
    <xf numFmtId="0" fontId="73" fillId="39" borderId="39" xfId="8697" applyFont="1" applyFill="1" applyBorder="1" applyAlignment="1">
      <alignment horizontal="center"/>
    </xf>
    <xf numFmtId="175" fontId="126" fillId="39" borderId="0" xfId="8698" applyNumberFormat="1" applyFont="1" applyFill="1"/>
    <xf numFmtId="0" fontId="2" fillId="39" borderId="39" xfId="8697" applyFont="1" applyFill="1" applyBorder="1"/>
    <xf numFmtId="0" fontId="74" fillId="39" borderId="0" xfId="8697" applyFont="1" applyFill="1"/>
    <xf numFmtId="0" fontId="130" fillId="39" borderId="0" xfId="8697" applyFont="1" applyFill="1"/>
    <xf numFmtId="0" fontId="73" fillId="39" borderId="39" xfId="8697" applyFont="1" applyFill="1" applyBorder="1"/>
    <xf numFmtId="0" fontId="73" fillId="0" borderId="0" xfId="8697" applyFont="1"/>
    <xf numFmtId="0" fontId="118" fillId="0" borderId="0" xfId="8697" applyFont="1"/>
    <xf numFmtId="0" fontId="73" fillId="46" borderId="94" xfId="8697" applyFont="1" applyFill="1" applyBorder="1"/>
    <xf numFmtId="0" fontId="2" fillId="45" borderId="93" xfId="8697" applyFont="1" applyFill="1" applyBorder="1"/>
    <xf numFmtId="0" fontId="2" fillId="44" borderId="93" xfId="8697" applyFont="1" applyFill="1" applyBorder="1"/>
    <xf numFmtId="0" fontId="73" fillId="37" borderId="63" xfId="8697" applyFont="1" applyFill="1" applyBorder="1"/>
    <xf numFmtId="0" fontId="2" fillId="37" borderId="77" xfId="8697" applyFont="1" applyFill="1" applyBorder="1"/>
    <xf numFmtId="0" fontId="2" fillId="37" borderId="76" xfId="8697" applyFont="1" applyFill="1" applyBorder="1"/>
    <xf numFmtId="0" fontId="2" fillId="37" borderId="75" xfId="8697" applyFont="1" applyFill="1" applyBorder="1"/>
    <xf numFmtId="0" fontId="73" fillId="37" borderId="0" xfId="8697" applyFont="1" applyFill="1"/>
    <xf numFmtId="0" fontId="73" fillId="37" borderId="12" xfId="8697" applyFont="1" applyFill="1" applyBorder="1"/>
    <xf numFmtId="0" fontId="73" fillId="37" borderId="27" xfId="8697" applyFont="1" applyFill="1" applyBorder="1"/>
    <xf numFmtId="0" fontId="73" fillId="37" borderId="77" xfId="8697" applyFont="1" applyFill="1" applyBorder="1"/>
    <xf numFmtId="0" fontId="73" fillId="37" borderId="76" xfId="8697" applyFont="1" applyFill="1" applyBorder="1"/>
    <xf numFmtId="0" fontId="73" fillId="37" borderId="75" xfId="8697" applyFont="1" applyFill="1" applyBorder="1"/>
    <xf numFmtId="0" fontId="73" fillId="37" borderId="89" xfId="8697" applyFont="1" applyFill="1" applyBorder="1"/>
    <xf numFmtId="0" fontId="73" fillId="37" borderId="6" xfId="8697" applyFont="1" applyFill="1" applyBorder="1"/>
    <xf numFmtId="0" fontId="73" fillId="37" borderId="10" xfId="8697" applyFont="1" applyFill="1" applyBorder="1"/>
    <xf numFmtId="0" fontId="121" fillId="36" borderId="0" xfId="8697" applyFont="1" applyFill="1"/>
    <xf numFmtId="10" fontId="121" fillId="36" borderId="0" xfId="983" applyNumberFormat="1" applyFont="1" applyFill="1"/>
    <xf numFmtId="0" fontId="2" fillId="37" borderId="27" xfId="8697" applyFont="1" applyFill="1" applyBorder="1"/>
    <xf numFmtId="0" fontId="2" fillId="37" borderId="29" xfId="8697" applyFont="1" applyFill="1" applyBorder="1"/>
    <xf numFmtId="0" fontId="73" fillId="37" borderId="88" xfId="8697" applyFont="1" applyFill="1" applyBorder="1"/>
    <xf numFmtId="0" fontId="73" fillId="37" borderId="72" xfId="8697" applyFont="1" applyFill="1" applyBorder="1"/>
    <xf numFmtId="0" fontId="132" fillId="39" borderId="0" xfId="8697" applyFont="1" applyFill="1"/>
    <xf numFmtId="0" fontId="73" fillId="37" borderId="29" xfId="8697" applyFont="1" applyFill="1" applyBorder="1"/>
    <xf numFmtId="0" fontId="2" fillId="39" borderId="0" xfId="8697" applyFont="1" applyFill="1" applyAlignment="1">
      <alignment horizontal="left"/>
    </xf>
    <xf numFmtId="0" fontId="124" fillId="43" borderId="11" xfId="8697" applyFont="1" applyFill="1" applyBorder="1"/>
    <xf numFmtId="0" fontId="124" fillId="43" borderId="73" xfId="8697" applyFont="1" applyFill="1" applyBorder="1"/>
    <xf numFmtId="0" fontId="125" fillId="43" borderId="11" xfId="8697" applyFont="1" applyFill="1" applyBorder="1" applyAlignment="1">
      <alignment horizontal="center"/>
    </xf>
    <xf numFmtId="0" fontId="125" fillId="43" borderId="73" xfId="8697" applyFont="1" applyFill="1" applyBorder="1" applyAlignment="1">
      <alignment horizontal="center"/>
    </xf>
    <xf numFmtId="0" fontId="2" fillId="40" borderId="64" xfId="8697" applyFont="1" applyFill="1" applyBorder="1"/>
    <xf numFmtId="0" fontId="2" fillId="40" borderId="0" xfId="8697" applyFont="1" applyFill="1"/>
    <xf numFmtId="0" fontId="2" fillId="40" borderId="75" xfId="8697" applyFont="1" applyFill="1" applyBorder="1"/>
    <xf numFmtId="0" fontId="73" fillId="39" borderId="64" xfId="8697" applyFont="1" applyFill="1" applyBorder="1"/>
    <xf numFmtId="49" fontId="73" fillId="39" borderId="64" xfId="8697" applyNumberFormat="1" applyFont="1" applyFill="1" applyBorder="1" applyAlignment="1">
      <alignment horizontal="right" vertical="top"/>
    </xf>
    <xf numFmtId="0" fontId="2" fillId="39" borderId="71" xfId="8697" applyFont="1" applyFill="1" applyBorder="1"/>
    <xf numFmtId="0" fontId="2" fillId="39" borderId="40" xfId="8697" applyFont="1" applyFill="1" applyBorder="1"/>
    <xf numFmtId="0" fontId="2" fillId="39" borderId="42" xfId="8697" applyFont="1" applyFill="1" applyBorder="1"/>
    <xf numFmtId="0" fontId="2" fillId="36" borderId="64" xfId="8697" applyFont="1" applyFill="1" applyBorder="1"/>
    <xf numFmtId="0" fontId="2" fillId="36" borderId="0" xfId="8697" applyFont="1" applyFill="1"/>
    <xf numFmtId="0" fontId="2" fillId="36" borderId="39" xfId="8697" applyFont="1" applyFill="1" applyBorder="1"/>
    <xf numFmtId="0" fontId="2" fillId="36" borderId="0" xfId="8697" applyFont="1" applyFill="1" applyAlignment="1">
      <alignment horizontal="left"/>
    </xf>
    <xf numFmtId="0" fontId="2" fillId="36" borderId="71" xfId="8697" applyFont="1" applyFill="1" applyBorder="1"/>
    <xf numFmtId="0" fontId="2" fillId="36" borderId="40" xfId="8697" applyFont="1" applyFill="1" applyBorder="1"/>
    <xf numFmtId="0" fontId="2" fillId="36" borderId="42" xfId="8697" applyFont="1" applyFill="1" applyBorder="1"/>
    <xf numFmtId="0" fontId="116" fillId="0" borderId="0" xfId="8697" applyFont="1"/>
    <xf numFmtId="0" fontId="12" fillId="0" borderId="0" xfId="0" applyFont="1" applyAlignment="1">
      <alignment horizontal="left" wrapText="1"/>
    </xf>
    <xf numFmtId="0" fontId="69" fillId="0" borderId="11" xfId="4457" applyFont="1" applyBorder="1" applyAlignment="1">
      <alignment horizontal="left" indent="2"/>
    </xf>
    <xf numFmtId="0" fontId="0" fillId="0" borderId="4" xfId="0" applyBorder="1"/>
    <xf numFmtId="0" fontId="0" fillId="0" borderId="5" xfId="0" applyBorder="1"/>
    <xf numFmtId="0" fontId="69" fillId="0" borderId="74" xfId="4457" applyFont="1" applyBorder="1"/>
    <xf numFmtId="0" fontId="0" fillId="0" borderId="82" xfId="0" applyBorder="1"/>
    <xf numFmtId="0" fontId="69" fillId="0" borderId="73" xfId="4457" applyFont="1" applyBorder="1"/>
    <xf numFmtId="0" fontId="0" fillId="0" borderId="78" xfId="0" applyBorder="1"/>
    <xf numFmtId="0" fontId="69" fillId="0" borderId="0" xfId="4457" applyFont="1" applyAlignment="1">
      <alignment horizontal="center" vertical="center" wrapText="1"/>
    </xf>
    <xf numFmtId="0" fontId="69" fillId="0" borderId="0" xfId="4457" applyFont="1"/>
    <xf numFmtId="0" fontId="69" fillId="0" borderId="65" xfId="4457" applyFont="1" applyBorder="1" applyAlignment="1">
      <alignment horizontal="right"/>
    </xf>
    <xf numFmtId="0" fontId="0" fillId="0" borderId="72" xfId="0" applyBorder="1"/>
    <xf numFmtId="168" fontId="69" fillId="0" borderId="11" xfId="4460" applyNumberFormat="1" applyFont="1" applyBorder="1" applyAlignment="1">
      <alignment horizontal="left" vertical="center" indent="1"/>
    </xf>
    <xf numFmtId="49" fontId="69" fillId="37" borderId="11" xfId="4457" applyNumberFormat="1" applyFont="1" applyFill="1" applyBorder="1" applyAlignment="1">
      <alignment horizontal="center" vertical="center" wrapText="1"/>
    </xf>
    <xf numFmtId="0" fontId="0" fillId="0" borderId="13" xfId="0" applyBorder="1"/>
    <xf numFmtId="0" fontId="97" fillId="0" borderId="66" xfId="4457" applyFont="1" applyBorder="1" applyAlignment="1">
      <alignment horizontal="center" vertical="top" wrapText="1"/>
    </xf>
    <xf numFmtId="49" fontId="96" fillId="3" borderId="0" xfId="1153" applyNumberFormat="1" applyFont="1" applyFill="1" applyAlignment="1">
      <alignment horizontal="center" vertical="center"/>
    </xf>
    <xf numFmtId="0" fontId="69" fillId="0" borderId="67" xfId="4457" applyFont="1" applyBorder="1" applyAlignment="1">
      <alignment horizontal="right"/>
    </xf>
    <xf numFmtId="0" fontId="0" fillId="0" borderId="90" xfId="0" applyBorder="1"/>
    <xf numFmtId="0" fontId="69" fillId="0" borderId="0" xfId="4457" applyFont="1" applyAlignment="1">
      <alignment horizontal="left" wrapText="1"/>
    </xf>
    <xf numFmtId="0" fontId="69" fillId="0" borderId="70" xfId="4457" applyFont="1" applyBorder="1" applyAlignment="1">
      <alignment horizontal="right"/>
    </xf>
    <xf numFmtId="0" fontId="97" fillId="37" borderId="11" xfId="4457" applyFont="1" applyFill="1" applyBorder="1" applyAlignment="1">
      <alignment horizontal="center" vertical="center"/>
    </xf>
    <xf numFmtId="0" fontId="69" fillId="0" borderId="0" xfId="4457" applyFont="1" applyAlignment="1">
      <alignment horizontal="left" wrapText="1" indent="1"/>
    </xf>
    <xf numFmtId="0" fontId="69" fillId="0" borderId="69" xfId="4457" applyFont="1" applyBorder="1"/>
    <xf numFmtId="0" fontId="0" fillId="0" borderId="87" xfId="0" applyBorder="1"/>
    <xf numFmtId="0" fontId="69" fillId="0" borderId="0" xfId="4457" applyFont="1" applyAlignment="1">
      <alignment wrapText="1"/>
    </xf>
    <xf numFmtId="0" fontId="97" fillId="0" borderId="66" xfId="4457" applyFont="1" applyBorder="1" applyAlignment="1">
      <alignment horizontal="left" indent="1"/>
    </xf>
    <xf numFmtId="0" fontId="0" fillId="0" borderId="88" xfId="0" applyBorder="1"/>
    <xf numFmtId="9" fontId="97" fillId="37" borderId="11" xfId="4460" applyFont="1" applyFill="1" applyBorder="1" applyAlignment="1">
      <alignment horizontal="center" vertical="center"/>
    </xf>
    <xf numFmtId="168" fontId="69" fillId="0" borderId="68" xfId="4460" applyNumberFormat="1" applyFont="1" applyBorder="1" applyAlignment="1">
      <alignment horizontal="left" vertical="center" indent="1"/>
    </xf>
    <xf numFmtId="0" fontId="69" fillId="0" borderId="11" xfId="4457" applyFont="1" applyBorder="1" applyAlignment="1">
      <alignment horizontal="left" indent="1"/>
    </xf>
    <xf numFmtId="0" fontId="69" fillId="35" borderId="6" xfId="4457" applyFont="1" applyFill="1" applyBorder="1" applyAlignment="1" applyProtection="1">
      <alignment horizontal="left" vertical="top" wrapText="1"/>
      <protection locked="0"/>
    </xf>
    <xf numFmtId="0" fontId="0" fillId="0" borderId="0" xfId="0" applyProtection="1">
      <protection locked="0"/>
    </xf>
    <xf numFmtId="0" fontId="0" fillId="0" borderId="6" xfId="0" applyBorder="1" applyProtection="1">
      <protection locked="0"/>
    </xf>
    <xf numFmtId="168" fontId="69" fillId="0" borderId="13" xfId="4460" applyNumberFormat="1" applyFont="1" applyBorder="1" applyAlignment="1">
      <alignment horizontal="left" vertical="center" indent="1"/>
    </xf>
    <xf numFmtId="0" fontId="0" fillId="0" borderId="10" xfId="0" applyBorder="1"/>
    <xf numFmtId="0" fontId="81" fillId="0" borderId="0" xfId="0" applyFont="1" applyAlignment="1">
      <alignment horizontal="left" wrapText="1"/>
    </xf>
    <xf numFmtId="0" fontId="0" fillId="0" borderId="0" xfId="0"/>
    <xf numFmtId="0" fontId="3"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32" fillId="0" borderId="0" xfId="0" applyFont="1" applyAlignment="1">
      <alignment horizontal="left" vertical="top" wrapText="1"/>
    </xf>
    <xf numFmtId="0" fontId="10" fillId="0" borderId="0" xfId="0" applyFont="1" applyAlignment="1">
      <alignment horizontal="left" vertical="top" wrapText="1"/>
    </xf>
    <xf numFmtId="0" fontId="9" fillId="3" borderId="16" xfId="0" applyFont="1" applyFill="1" applyBorder="1" applyAlignment="1">
      <alignment horizontal="center" vertical="center" wrapText="1"/>
    </xf>
    <xf numFmtId="0" fontId="0" fillId="0" borderId="16" xfId="0" applyBorder="1"/>
    <xf numFmtId="0" fontId="75" fillId="0" borderId="0" xfId="0" applyFont="1" applyAlignment="1">
      <alignment horizontal="left" vertical="top" wrapText="1"/>
    </xf>
    <xf numFmtId="0" fontId="4" fillId="0" borderId="0" xfId="211" applyAlignment="1">
      <alignment horizontal="left"/>
    </xf>
    <xf numFmtId="0" fontId="4" fillId="0" borderId="0" xfId="211" applyAlignment="1">
      <alignment horizontal="left" vertical="top"/>
    </xf>
    <xf numFmtId="0" fontId="4" fillId="0" borderId="0" xfId="211"/>
    <xf numFmtId="0" fontId="3" fillId="0" borderId="0" xfId="1153" applyFont="1" applyAlignment="1">
      <alignment horizontal="left" vertical="top" wrapText="1"/>
    </xf>
    <xf numFmtId="0" fontId="3" fillId="0" borderId="0" xfId="0" applyFont="1" applyAlignment="1">
      <alignment horizontal="left"/>
    </xf>
    <xf numFmtId="0" fontId="3" fillId="0" borderId="0" xfId="530" applyFont="1"/>
    <xf numFmtId="0" fontId="82" fillId="0" borderId="0" xfId="530" applyFont="1" applyAlignment="1">
      <alignment horizontal="center"/>
    </xf>
    <xf numFmtId="0" fontId="3" fillId="0" borderId="0" xfId="530" applyFont="1" applyAlignment="1">
      <alignment wrapText="1"/>
    </xf>
    <xf numFmtId="0" fontId="10" fillId="0" borderId="0" xfId="530" applyFont="1" applyAlignment="1">
      <alignment wrapText="1"/>
    </xf>
    <xf numFmtId="0" fontId="18" fillId="0" borderId="0" xfId="530" applyFont="1" applyAlignment="1">
      <alignment horizontal="center"/>
    </xf>
    <xf numFmtId="0" fontId="3" fillId="0" borderId="0" xfId="1153" applyFont="1" applyAlignment="1">
      <alignment vertical="top" wrapText="1"/>
    </xf>
    <xf numFmtId="0" fontId="21" fillId="0" borderId="0" xfId="0" applyFont="1" applyAlignment="1">
      <alignment horizontal="left"/>
    </xf>
    <xf numFmtId="0" fontId="3" fillId="0" borderId="0" xfId="530" applyFont="1" applyAlignment="1">
      <alignment horizontal="left"/>
    </xf>
    <xf numFmtId="0" fontId="3" fillId="0" borderId="0" xfId="530" applyFont="1" applyAlignment="1">
      <alignment horizontal="left" vertical="top" wrapText="1"/>
    </xf>
    <xf numFmtId="0" fontId="21" fillId="0" borderId="0" xfId="530" applyFont="1" applyAlignment="1">
      <alignment horizontal="left"/>
    </xf>
    <xf numFmtId="4" fontId="3" fillId="0" borderId="0" xfId="1153" applyNumberFormat="1" applyFont="1" applyAlignment="1">
      <alignment horizontal="left" vertical="top" wrapText="1"/>
    </xf>
    <xf numFmtId="0" fontId="10" fillId="0" borderId="0" xfId="0" applyFont="1" applyAlignment="1">
      <alignment horizontal="left" vertical="top"/>
    </xf>
    <xf numFmtId="0" fontId="10" fillId="0" borderId="16" xfId="530" applyFont="1" applyBorder="1" applyAlignment="1">
      <alignment horizontal="left"/>
    </xf>
    <xf numFmtId="4" fontId="3" fillId="0" borderId="0" xfId="0" applyNumberFormat="1" applyFont="1" applyAlignment="1">
      <alignment horizontal="left" vertical="top" wrapText="1"/>
    </xf>
    <xf numFmtId="0" fontId="10" fillId="0" borderId="4" xfId="0" applyFont="1" applyBorder="1" applyAlignment="1">
      <alignment horizontal="left"/>
    </xf>
    <xf numFmtId="0" fontId="3" fillId="0" borderId="0" xfId="530" applyFont="1" applyAlignment="1">
      <alignment horizontal="left" vertical="top"/>
    </xf>
    <xf numFmtId="0" fontId="3" fillId="0" borderId="0" xfId="530" applyFont="1" applyAlignment="1">
      <alignment horizontal="center"/>
    </xf>
    <xf numFmtId="0" fontId="21" fillId="0" borderId="0" xfId="530" applyFont="1" applyAlignment="1">
      <alignment horizontal="center" wrapText="1"/>
    </xf>
    <xf numFmtId="0" fontId="3" fillId="0" borderId="0" xfId="1153" applyFont="1" applyAlignment="1">
      <alignment horizontal="left"/>
    </xf>
    <xf numFmtId="0" fontId="10" fillId="0" borderId="4" xfId="530" applyFont="1" applyBorder="1" applyAlignment="1">
      <alignment horizontal="left"/>
    </xf>
    <xf numFmtId="0" fontId="21" fillId="0" borderId="0" xfId="530" applyFont="1" applyAlignment="1">
      <alignment horizontal="center"/>
    </xf>
    <xf numFmtId="0" fontId="10" fillId="0" borderId="0" xfId="530" applyFont="1"/>
    <xf numFmtId="0" fontId="3" fillId="0" borderId="0" xfId="0" applyFont="1" applyAlignment="1">
      <alignment horizontal="left" vertical="top"/>
    </xf>
    <xf numFmtId="0" fontId="21" fillId="0" borderId="0" xfId="530" applyFont="1" applyAlignment="1">
      <alignment horizontal="left" wrapText="1"/>
    </xf>
    <xf numFmtId="0" fontId="10" fillId="0" borderId="0" xfId="530" applyFont="1" applyAlignment="1">
      <alignment horizontal="center"/>
    </xf>
    <xf numFmtId="0" fontId="21" fillId="0" borderId="0" xfId="1153" applyFont="1" applyAlignment="1">
      <alignment horizontal="left"/>
    </xf>
    <xf numFmtId="4" fontId="3" fillId="0" borderId="0" xfId="0" applyNumberFormat="1" applyFont="1" applyAlignment="1">
      <alignment horizontal="left"/>
    </xf>
    <xf numFmtId="4" fontId="3" fillId="0" borderId="0" xfId="530" applyNumberFormat="1" applyFont="1" applyAlignment="1">
      <alignment horizontal="left" vertical="top" wrapText="1"/>
    </xf>
    <xf numFmtId="4" fontId="3" fillId="0" borderId="0" xfId="530" applyNumberFormat="1" applyFont="1" applyAlignment="1">
      <alignment horizontal="left"/>
    </xf>
    <xf numFmtId="0" fontId="21" fillId="0" borderId="0" xfId="530" applyFont="1" applyAlignment="1">
      <alignment horizontal="left" vertical="top" wrapText="1"/>
    </xf>
    <xf numFmtId="0" fontId="3" fillId="0" borderId="0" xfId="0" applyFont="1" applyAlignment="1">
      <alignment horizontal="left" vertical="center" wrapText="1"/>
    </xf>
    <xf numFmtId="0" fontId="3" fillId="0" borderId="0" xfId="530" applyFont="1" applyAlignment="1">
      <alignment horizontal="left" wrapText="1"/>
    </xf>
    <xf numFmtId="0" fontId="4" fillId="0" borderId="0" xfId="211" applyAlignment="1">
      <alignment horizontal="left" vertical="top" wrapText="1"/>
    </xf>
    <xf numFmtId="0" fontId="21" fillId="0" borderId="0" xfId="0" applyFont="1" applyAlignment="1">
      <alignment horizontal="left" vertical="top" wrapText="1"/>
    </xf>
    <xf numFmtId="0" fontId="3" fillId="0" borderId="0" xfId="0" applyFont="1" applyAlignment="1">
      <alignment vertical="center" wrapText="1"/>
    </xf>
    <xf numFmtId="4" fontId="21" fillId="0" borderId="0" xfId="0" applyNumberFormat="1" applyFont="1" applyAlignment="1">
      <alignment horizontal="left"/>
    </xf>
    <xf numFmtId="0" fontId="21" fillId="0" borderId="0" xfId="1153" applyFont="1" applyAlignment="1">
      <alignment horizontal="left" vertical="top" wrapText="1"/>
    </xf>
    <xf numFmtId="0" fontId="4" fillId="0" borderId="0" xfId="211" quotePrefix="1" applyAlignment="1">
      <alignment horizontal="left"/>
    </xf>
    <xf numFmtId="0" fontId="10" fillId="0" borderId="4" xfId="530" applyFont="1" applyBorder="1" applyAlignment="1">
      <alignment horizontal="left" vertical="top"/>
    </xf>
    <xf numFmtId="4" fontId="3" fillId="0" borderId="0" xfId="530" applyNumberFormat="1" applyFont="1"/>
    <xf numFmtId="0" fontId="3" fillId="0" borderId="0" xfId="0" applyFont="1" applyAlignment="1">
      <alignment vertical="top" wrapText="1"/>
    </xf>
    <xf numFmtId="4" fontId="21" fillId="0" borderId="0" xfId="530" applyNumberFormat="1" applyFont="1" applyAlignment="1">
      <alignment horizontal="left" vertical="top" wrapText="1"/>
    </xf>
    <xf numFmtId="0" fontId="3" fillId="0" borderId="0" xfId="530" applyFont="1" applyAlignment="1">
      <alignment vertical="top" wrapText="1"/>
    </xf>
    <xf numFmtId="0" fontId="3" fillId="0" borderId="0" xfId="0" quotePrefix="1" applyFont="1" applyAlignment="1">
      <alignment horizontal="left" vertical="top"/>
    </xf>
    <xf numFmtId="0" fontId="10" fillId="0" borderId="0" xfId="0" applyFont="1" applyAlignment="1">
      <alignment vertical="top" wrapText="1"/>
    </xf>
    <xf numFmtId="0" fontId="3" fillId="0" borderId="0" xfId="1153" applyFont="1" applyAlignment="1" applyProtection="1">
      <alignment horizontal="left" vertical="top" wrapText="1"/>
      <protection locked="0"/>
    </xf>
    <xf numFmtId="0" fontId="10" fillId="0" borderId="0" xfId="530" applyFont="1" applyAlignment="1">
      <alignment horizontal="left"/>
    </xf>
    <xf numFmtId="49" fontId="3" fillId="0" borderId="0" xfId="0" applyNumberFormat="1" applyFont="1" applyAlignment="1">
      <alignment horizontal="left" vertical="top" wrapText="1"/>
    </xf>
    <xf numFmtId="0" fontId="21" fillId="0" borderId="0" xfId="0" applyFont="1" applyAlignment="1">
      <alignment horizontal="left" vertical="top"/>
    </xf>
    <xf numFmtId="0" fontId="10" fillId="0" borderId="4" xfId="0" applyFont="1" applyBorder="1" applyAlignment="1">
      <alignment horizontal="left" vertical="top"/>
    </xf>
    <xf numFmtId="0" fontId="10" fillId="0" borderId="0" xfId="1153" applyFont="1" applyAlignment="1">
      <alignment horizontal="left" vertical="top" wrapText="1"/>
    </xf>
    <xf numFmtId="49" fontId="3" fillId="0" borderId="0" xfId="1153" applyNumberFormat="1" applyFont="1" applyAlignment="1">
      <alignment horizontal="left" vertical="top" wrapText="1"/>
    </xf>
    <xf numFmtId="0" fontId="3" fillId="0" borderId="0" xfId="0" quotePrefix="1" applyFont="1" applyAlignment="1">
      <alignment horizontal="left" vertical="top" wrapText="1"/>
    </xf>
    <xf numFmtId="4" fontId="21" fillId="0" borderId="0" xfId="0" applyNumberFormat="1" applyFont="1" applyAlignment="1">
      <alignment horizontal="left" vertical="top" wrapText="1"/>
    </xf>
    <xf numFmtId="43" fontId="3" fillId="0" borderId="0" xfId="4464" applyFont="1"/>
    <xf numFmtId="0" fontId="3" fillId="0" borderId="0" xfId="530" applyFont="1" applyAlignment="1">
      <alignment vertical="center"/>
    </xf>
    <xf numFmtId="0" fontId="21" fillId="0" borderId="0" xfId="530" applyFont="1" applyAlignment="1">
      <alignment horizontal="left" vertical="top"/>
    </xf>
    <xf numFmtId="0" fontId="3" fillId="0" borderId="0" xfId="530" applyFont="1" applyAlignment="1">
      <alignment horizontal="left" vertical="center" wrapText="1"/>
    </xf>
    <xf numFmtId="0" fontId="3" fillId="0" borderId="25" xfId="530" applyFont="1" applyBorder="1" applyAlignment="1">
      <alignment horizontal="left"/>
    </xf>
    <xf numFmtId="0" fontId="0" fillId="0" borderId="25" xfId="0" applyBorder="1"/>
    <xf numFmtId="0" fontId="12" fillId="0" borderId="0" xfId="507" applyFont="1" applyAlignment="1">
      <alignment horizontal="center"/>
    </xf>
    <xf numFmtId="168" fontId="3" fillId="5" borderId="11" xfId="0" applyNumberFormat="1" applyFont="1" applyFill="1" applyBorder="1" applyAlignment="1" applyProtection="1">
      <alignment horizontal="right"/>
      <protection locked="0"/>
    </xf>
    <xf numFmtId="0" fontId="0" fillId="0" borderId="4" xfId="0" applyBorder="1" applyProtection="1">
      <protection locked="0"/>
    </xf>
    <xf numFmtId="0" fontId="0" fillId="0" borderId="5" xfId="0" applyBorder="1" applyProtection="1">
      <protection locked="0"/>
    </xf>
    <xf numFmtId="168" fontId="12" fillId="5" borderId="11" xfId="0" applyNumberFormat="1" applyFont="1" applyFill="1" applyBorder="1" applyAlignment="1" applyProtection="1">
      <alignment horizontal="center"/>
      <protection locked="0"/>
    </xf>
    <xf numFmtId="0" fontId="12" fillId="2" borderId="11" xfId="0" applyFont="1" applyFill="1" applyBorder="1" applyAlignment="1">
      <alignment horizontal="center"/>
    </xf>
    <xf numFmtId="1" fontId="0" fillId="5" borderId="11" xfId="0" applyNumberFormat="1" applyFill="1" applyBorder="1" applyAlignment="1" applyProtection="1">
      <alignment horizontal="center"/>
      <protection locked="0"/>
    </xf>
    <xf numFmtId="0" fontId="12" fillId="37" borderId="11" xfId="0" applyFont="1" applyFill="1" applyBorder="1" applyAlignment="1">
      <alignment horizontal="center"/>
    </xf>
    <xf numFmtId="0" fontId="0" fillId="0" borderId="11" xfId="0" applyBorder="1" applyAlignment="1">
      <alignment horizontal="center"/>
    </xf>
    <xf numFmtId="0" fontId="12" fillId="0" borderId="11" xfId="0" applyFont="1" applyBorder="1" applyAlignment="1">
      <alignment horizontal="center"/>
    </xf>
    <xf numFmtId="0" fontId="10" fillId="0" borderId="14" xfId="507" applyFont="1" applyBorder="1" applyAlignment="1">
      <alignment horizontal="left" vertical="center" wrapText="1"/>
    </xf>
    <xf numFmtId="0" fontId="0" fillId="0" borderId="12" xfId="0" applyBorder="1"/>
    <xf numFmtId="9" fontId="3" fillId="5" borderId="11" xfId="0" applyNumberFormat="1" applyFont="1" applyFill="1" applyBorder="1" applyAlignment="1" applyProtection="1">
      <alignment horizontal="right"/>
      <protection locked="0"/>
    </xf>
    <xf numFmtId="168" fontId="0" fillId="0" borderId="11" xfId="0" applyNumberFormat="1" applyBorder="1" applyAlignment="1">
      <alignment horizontal="right"/>
    </xf>
    <xf numFmtId="0" fontId="12" fillId="5" borderId="9" xfId="0" applyFont="1" applyFill="1" applyBorder="1" applyAlignment="1" applyProtection="1">
      <alignment horizontal="center"/>
      <protection locked="0"/>
    </xf>
    <xf numFmtId="168" fontId="0" fillId="5" borderId="13" xfId="0" applyNumberFormat="1" applyFill="1" applyBorder="1" applyAlignment="1" applyProtection="1">
      <alignment horizontal="right"/>
      <protection locked="0"/>
    </xf>
    <xf numFmtId="0" fontId="0" fillId="0" borderId="10" xfId="0" applyBorder="1" applyProtection="1">
      <protection locked="0"/>
    </xf>
    <xf numFmtId="0" fontId="0" fillId="5" borderId="6" xfId="0" applyFill="1" applyBorder="1" applyAlignment="1" applyProtection="1">
      <alignment horizontal="left"/>
      <protection locked="0"/>
    </xf>
    <xf numFmtId="0" fontId="22" fillId="5" borderId="11" xfId="507" applyFon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2" fillId="5" borderId="11" xfId="0" applyFont="1" applyFill="1" applyBorder="1" applyAlignment="1" applyProtection="1">
      <alignment horizontal="center"/>
      <protection locked="0"/>
    </xf>
    <xf numFmtId="0" fontId="3" fillId="5" borderId="6"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0" fontId="26" fillId="0" borderId="11" xfId="0" applyFont="1" applyBorder="1" applyAlignment="1">
      <alignment horizontal="center"/>
    </xf>
    <xf numFmtId="0" fontId="11" fillId="0" borderId="11" xfId="507" applyFont="1" applyBorder="1" applyAlignment="1">
      <alignment horizontal="center"/>
    </xf>
    <xf numFmtId="168" fontId="3" fillId="10" borderId="11" xfId="507" applyNumberFormat="1" applyFont="1" applyFill="1" applyBorder="1" applyAlignment="1">
      <alignment horizontal="center"/>
    </xf>
    <xf numFmtId="9" fontId="12" fillId="5" borderId="11" xfId="0" applyNumberFormat="1" applyFont="1" applyFill="1" applyBorder="1" applyAlignment="1" applyProtection="1">
      <alignment horizontal="center"/>
      <protection locked="0"/>
    </xf>
    <xf numFmtId="173" fontId="3" fillId="35" borderId="11"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3" fillId="0" borderId="13" xfId="0" applyFont="1" applyBorder="1" applyAlignment="1">
      <alignment horizontal="left" wrapText="1"/>
    </xf>
    <xf numFmtId="0" fontId="0" fillId="0" borderId="8" xfId="0" applyBorder="1"/>
    <xf numFmtId="0" fontId="0" fillId="0" borderId="9" xfId="0" applyBorder="1"/>
    <xf numFmtId="0" fontId="0" fillId="0" borderId="6" xfId="0" applyBorder="1"/>
    <xf numFmtId="3" fontId="0" fillId="35" borderId="11" xfId="0" applyNumberFormat="1" applyFill="1" applyBorder="1" applyAlignment="1" applyProtection="1">
      <alignment horizontal="center"/>
      <protection locked="0"/>
    </xf>
    <xf numFmtId="0" fontId="12" fillId="5" borderId="6" xfId="0" applyFont="1" applyFill="1" applyBorder="1" applyAlignment="1" applyProtection="1">
      <alignment horizontal="left"/>
      <protection locked="0"/>
    </xf>
    <xf numFmtId="0" fontId="9" fillId="3" borderId="0" xfId="0" applyFont="1" applyFill="1" applyAlignment="1">
      <alignment horizontal="center" vertical="center" wrapText="1"/>
    </xf>
    <xf numFmtId="0" fontId="0" fillId="5" borderId="11" xfId="0" applyFill="1" applyBorder="1" applyAlignment="1" applyProtection="1">
      <alignment horizontal="center"/>
      <protection locked="0"/>
    </xf>
    <xf numFmtId="0" fontId="3" fillId="0" borderId="11" xfId="0" applyFont="1" applyBorder="1" applyAlignment="1">
      <alignment horizontal="left"/>
    </xf>
    <xf numFmtId="1" fontId="3" fillId="0" borderId="11" xfId="507" applyNumberFormat="1" applyFont="1" applyBorder="1" applyAlignment="1">
      <alignment horizontal="center"/>
    </xf>
    <xf numFmtId="168" fontId="0" fillId="5" borderId="11" xfId="0" applyNumberFormat="1" applyFill="1" applyBorder="1" applyAlignment="1" applyProtection="1">
      <alignment horizontal="center"/>
      <protection locked="0"/>
    </xf>
    <xf numFmtId="0" fontId="3" fillId="0" borderId="11" xfId="507" applyFont="1" applyBorder="1" applyAlignment="1">
      <alignment horizontal="center"/>
    </xf>
    <xf numFmtId="0" fontId="3" fillId="0" borderId="11" xfId="0" applyFont="1" applyBorder="1" applyAlignment="1">
      <alignment horizontal="center"/>
    </xf>
    <xf numFmtId="1" fontId="0" fillId="35" borderId="11" xfId="0" applyNumberFormat="1" applyFill="1" applyBorder="1" applyAlignment="1" applyProtection="1">
      <alignment horizontal="center"/>
      <protection locked="0"/>
    </xf>
    <xf numFmtId="168" fontId="38" fillId="0" borderId="2" xfId="0" applyNumberFormat="1" applyFont="1" applyBorder="1" applyAlignment="1">
      <alignment horizontal="left" vertical="top" wrapText="1"/>
    </xf>
    <xf numFmtId="0" fontId="0" fillId="0" borderId="2" xfId="0" applyBorder="1"/>
    <xf numFmtId="168" fontId="12" fillId="0" borderId="11" xfId="0" applyNumberFormat="1" applyFont="1" applyBorder="1" applyAlignment="1">
      <alignment horizontal="left" vertical="top"/>
    </xf>
    <xf numFmtId="168" fontId="0" fillId="0" borderId="11" xfId="0" applyNumberFormat="1" applyBorder="1" applyAlignment="1">
      <alignment horizontal="center"/>
    </xf>
    <xf numFmtId="1" fontId="12" fillId="5" borderId="11" xfId="0" applyNumberFormat="1" applyFont="1" applyFill="1" applyBorder="1" applyAlignment="1" applyProtection="1">
      <alignment horizontal="center"/>
      <protection locked="0"/>
    </xf>
    <xf numFmtId="0" fontId="0" fillId="0" borderId="6" xfId="0" applyBorder="1" applyAlignment="1">
      <alignment horizontal="left"/>
    </xf>
    <xf numFmtId="0" fontId="3" fillId="0" borderId="11" xfId="0" applyFont="1" applyBorder="1" applyAlignment="1">
      <alignment horizontal="center" wrapText="1"/>
    </xf>
    <xf numFmtId="0" fontId="0" fillId="0" borderId="7" xfId="0" applyBorder="1"/>
    <xf numFmtId="168" fontId="12" fillId="0" borderId="11" xfId="0" applyNumberFormat="1" applyFont="1" applyBorder="1" applyAlignment="1">
      <alignment horizontal="center"/>
    </xf>
    <xf numFmtId="0" fontId="0" fillId="5" borderId="4" xfId="0" applyFill="1" applyBorder="1" applyAlignment="1" applyProtection="1">
      <alignment horizontal="center"/>
      <protection locked="0"/>
    </xf>
    <xf numFmtId="0" fontId="3" fillId="0" borderId="11" xfId="0" applyFont="1" applyBorder="1"/>
    <xf numFmtId="1" fontId="0" fillId="5" borderId="11" xfId="0" applyNumberFormat="1" applyFill="1" applyBorder="1" applyAlignment="1" applyProtection="1">
      <alignment horizontal="center" vertical="center"/>
      <protection locked="0"/>
    </xf>
    <xf numFmtId="0" fontId="0" fillId="5" borderId="6" xfId="0" applyFill="1" applyBorder="1" applyProtection="1">
      <protection locked="0"/>
    </xf>
    <xf numFmtId="0" fontId="3" fillId="5" borderId="4" xfId="0" applyFont="1" applyFill="1" applyBorder="1" applyAlignment="1" applyProtection="1">
      <alignment wrapText="1"/>
      <protection locked="0"/>
    </xf>
    <xf numFmtId="165" fontId="12" fillId="5" borderId="4" xfId="0" applyNumberFormat="1" applyFont="1" applyFill="1" applyBorder="1" applyAlignment="1" applyProtection="1">
      <alignment horizontal="left"/>
      <protection locked="0"/>
    </xf>
    <xf numFmtId="0" fontId="3" fillId="5" borderId="4" xfId="0" applyFont="1" applyFill="1" applyBorder="1" applyAlignment="1" applyProtection="1">
      <alignment horizontal="left"/>
      <protection locked="0"/>
    </xf>
    <xf numFmtId="0" fontId="10" fillId="0" borderId="11" xfId="0" applyFont="1" applyBorder="1" applyAlignment="1">
      <alignment horizontal="center" vertical="center" wrapText="1"/>
    </xf>
    <xf numFmtId="0" fontId="0" fillId="35" borderId="6" xfId="0" applyFill="1" applyBorder="1" applyAlignment="1" applyProtection="1">
      <alignment horizontal="center"/>
      <protection locked="0"/>
    </xf>
    <xf numFmtId="0" fontId="3" fillId="5" borderId="11" xfId="0" applyFont="1" applyFill="1" applyBorder="1" applyAlignment="1" applyProtection="1">
      <alignment horizontal="left" vertical="center" wrapText="1"/>
      <protection locked="0"/>
    </xf>
    <xf numFmtId="171" fontId="0" fillId="0" borderId="6" xfId="0" applyNumberFormat="1" applyBorder="1" applyAlignment="1">
      <alignment horizontal="center"/>
    </xf>
    <xf numFmtId="165" fontId="12" fillId="5" borderId="6" xfId="235" applyNumberFormat="1" applyFont="1" applyFill="1" applyBorder="1" applyAlignment="1" applyProtection="1">
      <alignment horizontal="left"/>
      <protection locked="0"/>
    </xf>
    <xf numFmtId="0" fontId="0" fillId="0" borderId="0" xfId="0" applyAlignment="1">
      <alignment horizontal="center"/>
    </xf>
    <xf numFmtId="168" fontId="0" fillId="5" borderId="11" xfId="0" applyNumberFormat="1" applyFill="1" applyBorder="1" applyAlignment="1" applyProtection="1">
      <alignment horizontal="right" vertical="center"/>
      <protection locked="0"/>
    </xf>
    <xf numFmtId="0" fontId="3" fillId="0" borderId="14" xfId="507" applyFont="1" applyBorder="1" applyAlignment="1">
      <alignment horizontal="left" vertical="top" wrapText="1"/>
    </xf>
    <xf numFmtId="0" fontId="12" fillId="5" borderId="4" xfId="0" applyFont="1" applyFill="1" applyBorder="1" applyAlignment="1" applyProtection="1">
      <alignment horizontal="left"/>
      <protection locked="0"/>
    </xf>
    <xf numFmtId="169" fontId="12" fillId="0" borderId="15" xfId="0" applyNumberFormat="1" applyFont="1" applyBorder="1" applyAlignment="1">
      <alignment horizontal="right"/>
    </xf>
    <xf numFmtId="0" fontId="3" fillId="5" borderId="4" xfId="0" applyFont="1" applyFill="1" applyBorder="1" applyAlignment="1" applyProtection="1">
      <alignment horizontal="center"/>
      <protection locked="0"/>
    </xf>
    <xf numFmtId="168" fontId="3" fillId="0" borderId="11" xfId="507" applyNumberFormat="1" applyFont="1" applyBorder="1" applyAlignment="1">
      <alignment horizontal="center" vertical="center"/>
    </xf>
    <xf numFmtId="0" fontId="12" fillId="0" borderId="11" xfId="0" applyFont="1" applyBorder="1" applyAlignment="1">
      <alignment horizontal="center" vertical="top" wrapText="1"/>
    </xf>
    <xf numFmtId="0" fontId="10" fillId="0" borderId="10" xfId="0" applyFont="1" applyBorder="1" applyAlignment="1">
      <alignment horizontal="center"/>
    </xf>
    <xf numFmtId="0" fontId="3" fillId="0" borderId="6" xfId="0" applyFont="1" applyBorder="1" applyAlignment="1" applyProtection="1">
      <alignment horizontal="center"/>
      <protection locked="0"/>
    </xf>
    <xf numFmtId="0" fontId="12" fillId="0" borderId="0" xfId="0" applyFont="1" applyAlignment="1">
      <alignment horizontal="left" vertical="top" wrapText="1"/>
    </xf>
    <xf numFmtId="0" fontId="22" fillId="5" borderId="11" xfId="507" applyFont="1" applyFill="1" applyBorder="1" applyAlignment="1">
      <alignment horizontal="center"/>
    </xf>
    <xf numFmtId="0" fontId="12" fillId="5" borderId="4" xfId="0" applyFont="1" applyFill="1" applyBorder="1" applyAlignment="1" applyProtection="1">
      <alignment wrapText="1"/>
      <protection locked="0"/>
    </xf>
    <xf numFmtId="168" fontId="3" fillId="35" borderId="11" xfId="0" applyNumberFormat="1" applyFont="1" applyFill="1" applyBorder="1" applyAlignment="1" applyProtection="1">
      <alignment horizontal="center" vertical="center"/>
      <protection locked="0"/>
    </xf>
    <xf numFmtId="173" fontId="0" fillId="5" borderId="4" xfId="0" applyNumberFormat="1" applyFill="1" applyBorder="1" applyAlignment="1" applyProtection="1">
      <alignment horizontal="left" vertical="center" wrapText="1"/>
      <protection locked="0"/>
    </xf>
    <xf numFmtId="0" fontId="11" fillId="5" borderId="11" xfId="0" applyFont="1" applyFill="1" applyBorder="1" applyAlignment="1" applyProtection="1">
      <alignment horizontal="center"/>
      <protection locked="0"/>
    </xf>
    <xf numFmtId="168" fontId="136" fillId="0" borderId="97" xfId="507" applyNumberFormat="1" applyFont="1" applyBorder="1" applyAlignment="1">
      <alignment horizontal="right" vertical="center" wrapText="1"/>
    </xf>
    <xf numFmtId="0" fontId="0" fillId="0" borderId="97" xfId="0" applyBorder="1"/>
    <xf numFmtId="0" fontId="10" fillId="0" borderId="11" xfId="0" applyFont="1" applyBorder="1" applyAlignment="1">
      <alignment horizontal="center"/>
    </xf>
    <xf numFmtId="0" fontId="0" fillId="0" borderId="11" xfId="0" applyBorder="1"/>
    <xf numFmtId="0" fontId="12" fillId="5" borderId="6" xfId="0" applyFont="1" applyFill="1" applyBorder="1" applyAlignment="1" applyProtection="1">
      <alignment horizontal="center"/>
      <protection locked="0"/>
    </xf>
    <xf numFmtId="0" fontId="3" fillId="0" borderId="13" xfId="507" applyFont="1" applyBorder="1" applyAlignment="1">
      <alignment horizontal="left" vertical="top" wrapText="1"/>
    </xf>
    <xf numFmtId="165" fontId="3" fillId="5" borderId="4" xfId="0" applyNumberFormat="1" applyFont="1" applyFill="1" applyBorder="1" applyAlignment="1" applyProtection="1">
      <alignment horizontal="left"/>
      <protection locked="0"/>
    </xf>
    <xf numFmtId="0" fontId="3" fillId="5" borderId="11" xfId="0" applyFont="1" applyFill="1" applyBorder="1" applyAlignment="1" applyProtection="1">
      <alignment horizontal="left" wrapText="1"/>
      <protection locked="0"/>
    </xf>
    <xf numFmtId="0" fontId="12" fillId="35" borderId="6" xfId="0" applyFont="1" applyFill="1" applyBorder="1" applyAlignment="1" applyProtection="1">
      <alignment horizontal="left"/>
      <protection locked="0"/>
    </xf>
    <xf numFmtId="0" fontId="9" fillId="3" borderId="0" xfId="0" applyFont="1" applyFill="1" applyAlignment="1">
      <alignment horizontal="center" vertical="center"/>
    </xf>
    <xf numFmtId="0" fontId="0" fillId="5" borderId="11" xfId="0" applyFill="1" applyBorder="1" applyAlignment="1" applyProtection="1">
      <alignment horizontal="left"/>
      <protection locked="0"/>
    </xf>
    <xf numFmtId="181" fontId="12" fillId="5" borderId="4" xfId="0" applyNumberFormat="1" applyFont="1" applyFill="1" applyBorder="1" applyAlignment="1" applyProtection="1">
      <alignment horizontal="right"/>
      <protection locked="0"/>
    </xf>
    <xf numFmtId="0" fontId="12" fillId="5" borderId="6" xfId="0" applyFont="1" applyFill="1" applyBorder="1" applyAlignment="1" applyProtection="1">
      <alignment horizontal="left" wrapText="1"/>
      <protection locked="0"/>
    </xf>
    <xf numFmtId="0" fontId="12" fillId="0" borderId="3" xfId="0" applyFont="1" applyBorder="1" applyAlignment="1">
      <alignment horizontal="left"/>
    </xf>
    <xf numFmtId="168" fontId="0" fillId="5" borderId="11" xfId="0" applyNumberFormat="1" applyFill="1" applyBorder="1" applyProtection="1">
      <protection locked="0"/>
    </xf>
    <xf numFmtId="1" fontId="0" fillId="5" borderId="6" xfId="0" applyNumberFormat="1" applyFill="1" applyBorder="1" applyAlignment="1" applyProtection="1">
      <alignment horizontal="left"/>
      <protection locked="0"/>
    </xf>
    <xf numFmtId="175" fontId="11" fillId="35" borderId="11" xfId="8682" applyNumberFormat="1" applyFont="1" applyFill="1" applyBorder="1" applyAlignment="1" applyProtection="1">
      <alignment horizontal="center" vertical="center" wrapText="1"/>
      <protection locked="0"/>
    </xf>
    <xf numFmtId="0" fontId="0" fillId="0" borderId="2" xfId="0" applyBorder="1" applyProtection="1">
      <protection locked="0"/>
    </xf>
    <xf numFmtId="0" fontId="0" fillId="0" borderId="7" xfId="0" applyBorder="1" applyProtection="1">
      <protection locked="0"/>
    </xf>
    <xf numFmtId="0" fontId="0" fillId="0" borderId="9" xfId="0" applyBorder="1" applyProtection="1">
      <protection locked="0"/>
    </xf>
    <xf numFmtId="3" fontId="0" fillId="5" borderId="11" xfId="0" applyNumberFormat="1" applyFill="1" applyBorder="1" applyAlignment="1" applyProtection="1">
      <alignment horizontal="right"/>
      <protection locked="0"/>
    </xf>
    <xf numFmtId="168" fontId="3" fillId="5" borderId="13" xfId="0" applyNumberFormat="1" applyFont="1" applyFill="1" applyBorder="1" applyAlignment="1" applyProtection="1">
      <alignment horizontal="right"/>
      <protection locked="0"/>
    </xf>
    <xf numFmtId="0" fontId="3" fillId="0" borderId="14" xfId="507" applyFont="1" applyBorder="1" applyAlignment="1">
      <alignment horizontal="left" vertical="center" wrapText="1"/>
    </xf>
    <xf numFmtId="0" fontId="0" fillId="0" borderId="11" xfId="0" applyBorder="1" applyAlignment="1" applyProtection="1">
      <alignment horizontal="left"/>
      <protection locked="0"/>
    </xf>
    <xf numFmtId="168" fontId="0" fillId="35" borderId="6" xfId="0" applyNumberFormat="1" applyFill="1" applyBorder="1" applyAlignment="1" applyProtection="1">
      <alignment horizontal="right"/>
      <protection locked="0"/>
    </xf>
    <xf numFmtId="0" fontId="0" fillId="0" borderId="3" xfId="0" applyBorder="1" applyAlignment="1">
      <alignment horizontal="left"/>
    </xf>
    <xf numFmtId="0" fontId="3" fillId="5" borderId="11" xfId="0" applyFont="1" applyFill="1" applyBorder="1" applyAlignment="1" applyProtection="1">
      <alignment vertical="center" wrapText="1"/>
      <protection locked="0"/>
    </xf>
    <xf numFmtId="3" fontId="12" fillId="5" borderId="11" xfId="0" applyNumberFormat="1" applyFont="1" applyFill="1" applyBorder="1" applyAlignment="1" applyProtection="1">
      <alignment horizontal="center"/>
      <protection locked="0"/>
    </xf>
    <xf numFmtId="0" fontId="3" fillId="35" borderId="6" xfId="0" applyFont="1" applyFill="1" applyBorder="1" applyAlignment="1" applyProtection="1">
      <alignment horizontal="left"/>
      <protection locked="0"/>
    </xf>
    <xf numFmtId="2" fontId="0" fillId="0" borderId="6" xfId="0" applyNumberFormat="1" applyBorder="1" applyAlignment="1">
      <alignment horizontal="center"/>
    </xf>
    <xf numFmtId="1" fontId="0" fillId="5" borderId="11" xfId="0" applyNumberFormat="1" applyFill="1" applyBorder="1" applyAlignment="1" applyProtection="1">
      <alignment horizontal="right"/>
      <protection locked="0"/>
    </xf>
    <xf numFmtId="0" fontId="24" fillId="0" borderId="11" xfId="507" applyFont="1" applyBorder="1" applyAlignment="1">
      <alignment horizontal="center"/>
    </xf>
    <xf numFmtId="168" fontId="0" fillId="5" borderId="5" xfId="0" applyNumberFormat="1" applyFill="1" applyBorder="1" applyAlignment="1" applyProtection="1">
      <alignment horizontal="right"/>
      <protection locked="0"/>
    </xf>
    <xf numFmtId="0" fontId="3" fillId="0" borderId="0" xfId="507" applyFont="1" applyAlignment="1">
      <alignment horizontal="center"/>
    </xf>
    <xf numFmtId="171" fontId="11" fillId="35" borderId="11" xfId="0" applyNumberFormat="1" applyFont="1" applyFill="1" applyBorder="1" applyAlignment="1" applyProtection="1">
      <alignment horizontal="center" vertical="center"/>
      <protection locked="0"/>
    </xf>
    <xf numFmtId="0" fontId="0" fillId="35" borderId="4" xfId="0" applyFill="1" applyBorder="1" applyAlignment="1" applyProtection="1">
      <alignment horizontal="center"/>
      <protection locked="0"/>
    </xf>
    <xf numFmtId="168" fontId="111" fillId="0" borderId="0" xfId="0" applyNumberFormat="1" applyFont="1" applyAlignment="1">
      <alignment horizontal="center" vertical="center" wrapText="1"/>
    </xf>
    <xf numFmtId="0" fontId="12" fillId="0" borderId="0" xfId="0" applyFont="1"/>
    <xf numFmtId="0" fontId="3" fillId="0" borderId="11" xfId="0" applyFont="1" applyBorder="1" applyAlignment="1">
      <alignment horizontal="center" vertical="top" wrapText="1"/>
    </xf>
    <xf numFmtId="9" fontId="3" fillId="0" borderId="0" xfId="507" applyNumberFormat="1" applyFont="1" applyAlignment="1">
      <alignment horizontal="center" vertical="center"/>
    </xf>
    <xf numFmtId="0" fontId="10" fillId="0" borderId="15" xfId="507" applyFont="1" applyBorder="1" applyAlignment="1">
      <alignment horizontal="left" vertical="center" wrapText="1"/>
    </xf>
    <xf numFmtId="166" fontId="11" fillId="5" borderId="11" xfId="0" applyNumberFormat="1" applyFont="1" applyFill="1" applyBorder="1" applyAlignment="1" applyProtection="1">
      <alignment horizontal="left"/>
      <protection locked="0"/>
    </xf>
    <xf numFmtId="0" fontId="39" fillId="0" borderId="11" xfId="0" applyFont="1" applyBorder="1" applyAlignment="1">
      <alignment horizontal="center" vertical="center" wrapText="1"/>
    </xf>
    <xf numFmtId="0" fontId="0" fillId="35" borderId="6" xfId="0" applyFill="1" applyBorder="1" applyAlignment="1" applyProtection="1">
      <alignment horizontal="left"/>
      <protection locked="0"/>
    </xf>
    <xf numFmtId="0" fontId="10" fillId="0" borderId="5" xfId="0" applyFont="1" applyBorder="1" applyAlignment="1">
      <alignment horizontal="center"/>
    </xf>
    <xf numFmtId="0" fontId="10" fillId="0" borderId="11" xfId="0" applyFont="1" applyBorder="1" applyAlignment="1">
      <alignment horizontal="right"/>
    </xf>
    <xf numFmtId="2" fontId="0" fillId="5" borderId="6" xfId="0" applyNumberFormat="1" applyFill="1" applyBorder="1" applyAlignment="1" applyProtection="1">
      <alignment horizontal="center"/>
      <protection locked="0"/>
    </xf>
    <xf numFmtId="165" fontId="12" fillId="5" borderId="6" xfId="0" applyNumberFormat="1" applyFont="1" applyFill="1" applyBorder="1" applyAlignment="1" applyProtection="1">
      <alignment horizontal="left"/>
      <protection locked="0"/>
    </xf>
    <xf numFmtId="180" fontId="0" fillId="5" borderId="4" xfId="0" applyNumberFormat="1" applyFill="1" applyBorder="1" applyAlignment="1" applyProtection="1">
      <alignment horizontal="left"/>
      <protection locked="0"/>
    </xf>
    <xf numFmtId="1" fontId="12" fillId="5" borderId="11" xfId="0" applyNumberFormat="1" applyFont="1" applyFill="1" applyBorder="1" applyAlignment="1" applyProtection="1">
      <alignment horizontal="right" vertical="top"/>
      <protection locked="0"/>
    </xf>
    <xf numFmtId="10" fontId="12" fillId="0" borderId="11" xfId="0" applyNumberFormat="1" applyFont="1" applyBorder="1" applyAlignment="1">
      <alignment horizontal="center"/>
    </xf>
    <xf numFmtId="0" fontId="10" fillId="0" borderId="13" xfId="0" applyFont="1" applyBorder="1" applyAlignment="1">
      <alignment horizontal="center" wrapText="1"/>
    </xf>
    <xf numFmtId="168" fontId="12" fillId="5" borderId="11" xfId="0" applyNumberFormat="1" applyFont="1" applyFill="1" applyBorder="1" applyAlignment="1" applyProtection="1">
      <alignment horizontal="left" vertical="top"/>
      <protection locked="0"/>
    </xf>
    <xf numFmtId="168" fontId="12" fillId="5" borderId="6" xfId="0" applyNumberFormat="1" applyFont="1" applyFill="1" applyBorder="1" applyAlignment="1" applyProtection="1">
      <alignment horizontal="right"/>
      <protection locked="0"/>
    </xf>
    <xf numFmtId="169" fontId="10" fillId="0" borderId="11" xfId="235" applyNumberFormat="1" applyFont="1" applyBorder="1" applyAlignment="1">
      <alignment horizontal="center"/>
    </xf>
    <xf numFmtId="0" fontId="3" fillId="35" borderId="6" xfId="0" applyFont="1" applyFill="1" applyBorder="1" applyAlignment="1" applyProtection="1">
      <alignment vertical="center"/>
      <protection locked="0"/>
    </xf>
    <xf numFmtId="168" fontId="0" fillId="35" borderId="11" xfId="0" applyNumberFormat="1" applyFill="1" applyBorder="1" applyAlignment="1" applyProtection="1">
      <alignment horizontal="center"/>
      <protection locked="0"/>
    </xf>
    <xf numFmtId="173" fontId="136" fillId="0" borderId="105" xfId="507" applyNumberFormat="1" applyFont="1" applyBorder="1" applyAlignment="1">
      <alignment horizontal="center" vertical="center" wrapText="1"/>
    </xf>
    <xf numFmtId="0" fontId="0" fillId="0" borderId="99" xfId="0" applyBorder="1"/>
    <xf numFmtId="0" fontId="0" fillId="0" borderId="100" xfId="0" applyBorder="1"/>
    <xf numFmtId="9" fontId="11" fillId="0" borderId="11" xfId="4455" applyFont="1" applyBorder="1" applyAlignment="1">
      <alignment horizontal="center"/>
    </xf>
    <xf numFmtId="0" fontId="107" fillId="0" borderId="14" xfId="507" applyFont="1" applyBorder="1" applyAlignment="1">
      <alignment horizontal="center" vertical="center" wrapText="1"/>
    </xf>
    <xf numFmtId="173" fontId="3" fillId="35" borderId="11" xfId="0" applyNumberFormat="1" applyFont="1" applyFill="1" applyBorder="1" applyAlignment="1" applyProtection="1">
      <alignment horizontal="center"/>
      <protection locked="0"/>
    </xf>
    <xf numFmtId="0" fontId="10" fillId="5" borderId="11" xfId="0" applyFont="1" applyFill="1" applyBorder="1" applyAlignment="1" applyProtection="1">
      <alignment horizontal="right"/>
      <protection locked="0"/>
    </xf>
    <xf numFmtId="0" fontId="12" fillId="0" borderId="4" xfId="0" applyFont="1" applyBorder="1" applyAlignment="1" applyProtection="1">
      <alignment horizontal="left"/>
      <protection locked="0"/>
    </xf>
    <xf numFmtId="0" fontId="10" fillId="0" borderId="3" xfId="0" applyFont="1" applyBorder="1" applyAlignment="1">
      <alignment horizontal="center"/>
    </xf>
    <xf numFmtId="168" fontId="10" fillId="0" borderId="11" xfId="507" applyNumberFormat="1" applyFont="1" applyBorder="1" applyAlignment="1">
      <alignment horizontal="center" vertical="center"/>
    </xf>
    <xf numFmtId="0" fontId="3" fillId="0" borderId="0" xfId="235" applyFont="1" applyAlignment="1">
      <alignment horizontal="left" vertical="top" wrapText="1"/>
    </xf>
    <xf numFmtId="165" fontId="0" fillId="5" borderId="6" xfId="0" applyNumberFormat="1" applyFill="1" applyBorder="1" applyAlignment="1" applyProtection="1">
      <alignment horizontal="left"/>
      <protection locked="0"/>
    </xf>
    <xf numFmtId="0" fontId="3" fillId="5" borderId="6" xfId="211" applyFont="1" applyFill="1" applyBorder="1" applyAlignment="1" applyProtection="1">
      <alignment horizontal="left"/>
      <protection locked="0"/>
    </xf>
    <xf numFmtId="0" fontId="0" fillId="0" borderId="0" xfId="0" applyAlignment="1">
      <alignment vertical="top" wrapText="1"/>
    </xf>
    <xf numFmtId="0" fontId="11" fillId="35" borderId="6" xfId="0" applyFont="1" applyFill="1" applyBorder="1" applyAlignment="1" applyProtection="1">
      <alignment horizontal="left"/>
      <protection locked="0"/>
    </xf>
    <xf numFmtId="14" fontId="0" fillId="5" borderId="11" xfId="0" applyNumberFormat="1" applyFill="1" applyBorder="1" applyAlignment="1" applyProtection="1">
      <alignment horizontal="right"/>
      <protection locked="0"/>
    </xf>
    <xf numFmtId="0" fontId="10" fillId="0" borderId="9" xfId="0" applyFont="1" applyBorder="1" applyAlignment="1">
      <alignment horizontal="center"/>
    </xf>
    <xf numFmtId="0" fontId="11"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0" fillId="0" borderId="9" xfId="0" applyBorder="1" applyAlignment="1">
      <alignment horizontal="left"/>
    </xf>
    <xf numFmtId="0" fontId="135" fillId="0" borderId="0" xfId="507" applyFont="1" applyAlignment="1">
      <alignment horizontal="left" vertical="center" wrapText="1"/>
    </xf>
    <xf numFmtId="0" fontId="0" fillId="35" borderId="11" xfId="0" applyFill="1" applyBorder="1" applyAlignment="1" applyProtection="1">
      <alignment horizontal="center"/>
      <protection locked="0"/>
    </xf>
    <xf numFmtId="0" fontId="3" fillId="0" borderId="0" xfId="0" applyFont="1" applyAlignment="1">
      <alignment horizontal="center"/>
    </xf>
    <xf numFmtId="0" fontId="12" fillId="5" borderId="4" xfId="0" applyFont="1" applyFill="1" applyBorder="1" applyAlignment="1" applyProtection="1">
      <alignment horizontal="right"/>
      <protection locked="0"/>
    </xf>
    <xf numFmtId="1" fontId="12" fillId="5" borderId="6" xfId="0" applyNumberFormat="1" applyFont="1" applyFill="1" applyBorder="1" applyAlignment="1" applyProtection="1">
      <alignment horizontal="right"/>
      <protection locked="0"/>
    </xf>
    <xf numFmtId="172" fontId="3" fillId="0" borderId="0" xfId="507" applyNumberFormat="1" applyFont="1" applyAlignment="1">
      <alignment horizontal="center"/>
    </xf>
    <xf numFmtId="0" fontId="3" fillId="0" borderId="0" xfId="507" applyFont="1"/>
    <xf numFmtId="10" fontId="12" fillId="5" borderId="4" xfId="0" applyNumberFormat="1" applyFont="1" applyFill="1" applyBorder="1" applyAlignment="1" applyProtection="1">
      <alignment horizontal="right"/>
      <protection locked="0"/>
    </xf>
    <xf numFmtId="0" fontId="10" fillId="0" borderId="15" xfId="507" applyFont="1" applyBorder="1" applyAlignment="1">
      <alignment horizontal="left" vertical="top" wrapText="1"/>
    </xf>
    <xf numFmtId="10" fontId="0" fillId="5" borderId="4" xfId="0" applyNumberFormat="1" applyFill="1" applyBorder="1" applyAlignment="1" applyProtection="1">
      <alignment horizontal="center"/>
      <protection locked="0"/>
    </xf>
    <xf numFmtId="0" fontId="11" fillId="5" borderId="11" xfId="0" applyFont="1" applyFill="1" applyBorder="1" applyAlignment="1" applyProtection="1">
      <alignment horizontal="left"/>
      <protection locked="0"/>
    </xf>
    <xf numFmtId="0" fontId="3" fillId="5" borderId="11" xfId="0" applyFont="1" applyFill="1" applyBorder="1" applyProtection="1">
      <protection locked="0"/>
    </xf>
    <xf numFmtId="0" fontId="10" fillId="10" borderId="11" xfId="507" applyFont="1" applyFill="1" applyBorder="1" applyAlignment="1">
      <alignment horizontal="center"/>
    </xf>
    <xf numFmtId="14" fontId="0" fillId="5" borderId="6" xfId="0" applyNumberFormat="1" applyFill="1" applyBorder="1" applyAlignment="1" applyProtection="1">
      <alignment horizontal="center"/>
      <protection locked="0"/>
    </xf>
    <xf numFmtId="0" fontId="0" fillId="0" borderId="12" xfId="0" applyBorder="1" applyAlignment="1">
      <alignment horizontal="center"/>
    </xf>
    <xf numFmtId="168" fontId="12" fillId="0" borderId="6" xfId="0" applyNumberFormat="1" applyFont="1" applyBorder="1" applyAlignment="1">
      <alignment horizontal="center"/>
    </xf>
    <xf numFmtId="0" fontId="3" fillId="0" borderId="0" xfId="0" applyFont="1" applyAlignment="1">
      <alignment wrapText="1"/>
    </xf>
    <xf numFmtId="0" fontId="38" fillId="5" borderId="11" xfId="0" applyFont="1" applyFill="1" applyBorder="1" applyAlignment="1" applyProtection="1">
      <alignment horizontal="right"/>
      <protection locked="0"/>
    </xf>
    <xf numFmtId="3" fontId="0" fillId="0" borderId="5" xfId="0" applyNumberFormat="1" applyBorder="1" applyAlignment="1">
      <alignment horizontal="right"/>
    </xf>
    <xf numFmtId="0" fontId="30" fillId="0" borderId="14" xfId="507" applyFont="1" applyBorder="1" applyAlignment="1">
      <alignment horizontal="center" vertical="center" wrapText="1"/>
    </xf>
    <xf numFmtId="166" fontId="22" fillId="5" borderId="11" xfId="0" applyNumberFormat="1" applyFont="1" applyFill="1" applyBorder="1" applyAlignment="1" applyProtection="1">
      <alignment horizontal="left"/>
      <protection locked="0"/>
    </xf>
    <xf numFmtId="0" fontId="3" fillId="0" borderId="0" xfId="507" applyFont="1" applyAlignment="1">
      <alignment wrapText="1"/>
    </xf>
    <xf numFmtId="168" fontId="3" fillId="5" borderId="10" xfId="0" applyNumberFormat="1" applyFont="1" applyFill="1" applyBorder="1" applyAlignment="1" applyProtection="1">
      <alignment horizontal="right"/>
      <protection locked="0"/>
    </xf>
    <xf numFmtId="2" fontId="3" fillId="0" borderId="0" xfId="507" applyNumberFormat="1" applyFont="1" applyAlignment="1">
      <alignment horizontal="center"/>
    </xf>
    <xf numFmtId="0" fontId="18" fillId="0" borderId="0" xfId="0" applyFont="1" applyAlignment="1">
      <alignment horizontal="center"/>
    </xf>
    <xf numFmtId="0" fontId="0" fillId="0" borderId="11" xfId="0" applyBorder="1" applyAlignment="1">
      <alignment horizontal="left" wrapText="1"/>
    </xf>
    <xf numFmtId="3" fontId="3" fillId="5" borderId="4" xfId="0" applyNumberFormat="1" applyFont="1" applyFill="1" applyBorder="1" applyAlignment="1" applyProtection="1">
      <alignment horizontal="left"/>
      <protection locked="0"/>
    </xf>
    <xf numFmtId="0" fontId="3" fillId="5" borderId="3" xfId="0" applyFont="1" applyFill="1" applyBorder="1" applyAlignment="1" applyProtection="1">
      <alignment vertical="center" wrapText="1"/>
      <protection locked="0"/>
    </xf>
    <xf numFmtId="0" fontId="3" fillId="5" borderId="4" xfId="0" applyFont="1" applyFill="1" applyBorder="1" applyAlignment="1" applyProtection="1">
      <alignment vertical="center" wrapText="1"/>
      <protection locked="0"/>
    </xf>
    <xf numFmtId="0" fontId="3" fillId="5" borderId="5" xfId="0" applyFont="1" applyFill="1" applyBorder="1" applyAlignment="1" applyProtection="1">
      <alignment vertical="center" wrapText="1"/>
      <protection locked="0"/>
    </xf>
    <xf numFmtId="1" fontId="11" fillId="0" borderId="11" xfId="507" applyNumberFormat="1" applyFont="1" applyBorder="1" applyAlignment="1">
      <alignment horizontal="center"/>
    </xf>
    <xf numFmtId="0" fontId="3" fillId="35" borderId="4" xfId="0" applyFont="1" applyFill="1" applyBorder="1" applyAlignment="1" applyProtection="1">
      <alignment horizontal="left" wrapText="1"/>
      <protection locked="0"/>
    </xf>
    <xf numFmtId="0" fontId="10" fillId="0" borderId="15" xfId="0" applyFont="1" applyBorder="1" applyAlignment="1">
      <alignment horizontal="center"/>
    </xf>
    <xf numFmtId="0" fontId="10" fillId="0" borderId="5" xfId="0" applyFont="1" applyBorder="1" applyAlignment="1">
      <alignment horizontal="center" wrapText="1"/>
    </xf>
    <xf numFmtId="0" fontId="3" fillId="2" borderId="11" xfId="507" applyFont="1" applyFill="1" applyBorder="1" applyAlignment="1">
      <alignment horizontal="center"/>
    </xf>
    <xf numFmtId="169" fontId="12" fillId="5" borderId="11" xfId="0" applyNumberFormat="1" applyFont="1" applyFill="1" applyBorder="1" applyAlignment="1" applyProtection="1">
      <alignment horizontal="center"/>
      <protection locked="0"/>
    </xf>
    <xf numFmtId="0" fontId="3" fillId="35" borderId="11" xfId="0" applyFont="1" applyFill="1" applyBorder="1" applyAlignment="1" applyProtection="1">
      <alignment horizontal="center"/>
      <protection locked="0"/>
    </xf>
    <xf numFmtId="167" fontId="10" fillId="0" borderId="11" xfId="0" applyNumberFormat="1" applyFont="1" applyBorder="1" applyAlignment="1">
      <alignment horizontal="center" vertical="center" wrapText="1"/>
    </xf>
    <xf numFmtId="1" fontId="0" fillId="5" borderId="5" xfId="0" applyNumberFormat="1" applyFill="1" applyBorder="1" applyAlignment="1" applyProtection="1">
      <alignment horizontal="center"/>
      <protection locked="0"/>
    </xf>
    <xf numFmtId="168" fontId="12" fillId="5" borderId="4" xfId="0" applyNumberFormat="1" applyFont="1" applyFill="1" applyBorder="1" applyAlignment="1" applyProtection="1">
      <alignment horizontal="right"/>
      <protection locked="0"/>
    </xf>
    <xf numFmtId="0" fontId="3"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7" fontId="0" fillId="5" borderId="6" xfId="0" applyNumberFormat="1" applyFill="1" applyBorder="1" applyAlignment="1" applyProtection="1">
      <alignment horizontal="center"/>
      <protection locked="0"/>
    </xf>
    <xf numFmtId="14" fontId="12" fillId="5" borderId="4" xfId="0" applyNumberFormat="1" applyFont="1" applyFill="1" applyBorder="1" applyAlignment="1" applyProtection="1">
      <alignment horizontal="right"/>
      <protection locked="0"/>
    </xf>
    <xf numFmtId="1" fontId="12" fillId="5" borderId="11" xfId="0" quotePrefix="1" applyNumberFormat="1" applyFont="1" applyFill="1" applyBorder="1" applyAlignment="1" applyProtection="1">
      <alignment horizontal="center"/>
      <protection locked="0"/>
    </xf>
    <xf numFmtId="0" fontId="10" fillId="0" borderId="15" xfId="0" applyFont="1" applyBorder="1" applyAlignment="1">
      <alignment horizontal="center" vertical="center" wrapText="1"/>
    </xf>
    <xf numFmtId="0" fontId="10" fillId="0" borderId="7" xfId="0" applyFont="1" applyBorder="1" applyAlignment="1">
      <alignment horizontal="right"/>
    </xf>
    <xf numFmtId="0" fontId="4" fillId="0" borderId="0" xfId="211" applyAlignment="1" applyProtection="1">
      <alignment horizontal="left"/>
      <protection locked="0"/>
    </xf>
    <xf numFmtId="1" fontId="0" fillId="35" borderId="4" xfId="0" applyNumberFormat="1" applyFill="1" applyBorder="1" applyAlignment="1" applyProtection="1">
      <alignment horizontal="center"/>
      <protection locked="0"/>
    </xf>
    <xf numFmtId="0" fontId="3" fillId="35" borderId="10" xfId="0" applyFont="1" applyFill="1" applyBorder="1" applyAlignment="1" applyProtection="1">
      <alignment horizontal="left"/>
      <protection locked="0"/>
    </xf>
    <xf numFmtId="0" fontId="10" fillId="0" borderId="5" xfId="0" applyFont="1" applyBorder="1" applyAlignment="1">
      <alignment horizontal="center" vertical="center" wrapText="1"/>
    </xf>
    <xf numFmtId="0" fontId="12" fillId="0" borderId="6" xfId="0" applyFont="1" applyBorder="1" applyAlignment="1">
      <alignment horizontal="left"/>
    </xf>
    <xf numFmtId="0" fontId="3" fillId="5" borderId="6" xfId="0" applyFont="1" applyFill="1" applyBorder="1" applyAlignment="1" applyProtection="1">
      <alignment horizontal="left" wrapText="1"/>
      <protection locked="0"/>
    </xf>
    <xf numFmtId="0" fontId="10" fillId="0" borderId="13" xfId="0" applyFont="1" applyBorder="1" applyAlignment="1">
      <alignment horizontal="right"/>
    </xf>
    <xf numFmtId="0" fontId="10" fillId="0" borderId="11" xfId="507" applyFont="1" applyBorder="1" applyAlignment="1">
      <alignment horizontal="right"/>
    </xf>
    <xf numFmtId="0" fontId="0" fillId="0" borderId="0" xfId="0" applyAlignment="1">
      <alignment wrapText="1"/>
    </xf>
    <xf numFmtId="0" fontId="22" fillId="0" borderId="11" xfId="507" applyFont="1" applyBorder="1" applyAlignment="1">
      <alignment horizontal="center"/>
    </xf>
    <xf numFmtId="0" fontId="3" fillId="0" borderId="0" xfId="0" applyFont="1" applyAlignment="1">
      <alignment horizontal="center" vertical="top"/>
    </xf>
    <xf numFmtId="0" fontId="3" fillId="0" borderId="6" xfId="0" applyFont="1" applyBorder="1" applyAlignment="1">
      <alignment horizontal="left"/>
    </xf>
    <xf numFmtId="9" fontId="0" fillId="5" borderId="11" xfId="0" applyNumberFormat="1" applyFill="1" applyBorder="1" applyAlignment="1" applyProtection="1">
      <alignment horizontal="right"/>
      <protection locked="0"/>
    </xf>
    <xf numFmtId="168" fontId="3" fillId="0" borderId="11" xfId="507" applyNumberFormat="1" applyFont="1" applyBorder="1" applyAlignment="1">
      <alignment horizontal="center"/>
    </xf>
    <xf numFmtId="49" fontId="0" fillId="5" borderId="6" xfId="0" applyNumberFormat="1" applyFill="1" applyBorder="1" applyAlignment="1" applyProtection="1">
      <alignment horizontal="center"/>
      <protection locked="0"/>
    </xf>
    <xf numFmtId="0" fontId="22" fillId="5" borderId="13" xfId="507" applyFont="1" applyFill="1" applyBorder="1" applyAlignment="1" applyProtection="1">
      <alignment horizontal="center"/>
      <protection locked="0"/>
    </xf>
    <xf numFmtId="165" fontId="12" fillId="5" borderId="4" xfId="235" applyNumberFormat="1" applyFont="1" applyFill="1" applyBorder="1" applyAlignment="1" applyProtection="1">
      <alignment horizontal="left"/>
      <protection locked="0"/>
    </xf>
    <xf numFmtId="0" fontId="3" fillId="5" borderId="11" xfId="0" applyFont="1" applyFill="1" applyBorder="1" applyAlignment="1" applyProtection="1">
      <alignment horizontal="left"/>
      <protection locked="0"/>
    </xf>
    <xf numFmtId="0" fontId="12" fillId="5" borderId="6" xfId="0" applyFont="1" applyFill="1" applyBorder="1" applyAlignment="1" applyProtection="1">
      <alignment horizontal="left" vertical="top" wrapText="1"/>
      <protection locked="0"/>
    </xf>
    <xf numFmtId="14" fontId="0" fillId="5" borderId="4" xfId="0" applyNumberFormat="1" applyFill="1" applyBorder="1" applyAlignment="1" applyProtection="1">
      <alignment horizontal="center"/>
      <protection locked="0"/>
    </xf>
    <xf numFmtId="0" fontId="108" fillId="0" borderId="0" xfId="0" applyFont="1" applyAlignment="1" applyProtection="1">
      <alignment horizontal="left" vertical="top" wrapText="1"/>
      <protection locked="0"/>
    </xf>
    <xf numFmtId="179" fontId="0" fillId="5" borderId="6" xfId="0" applyNumberFormat="1" applyFill="1" applyBorder="1" applyAlignment="1" applyProtection="1">
      <alignment horizontal="center"/>
      <protection locked="0"/>
    </xf>
    <xf numFmtId="168" fontId="0" fillId="0" borderId="11" xfId="0" applyNumberFormat="1" applyBorder="1"/>
    <xf numFmtId="0" fontId="114" fillId="0" borderId="13" xfId="507" applyFont="1" applyBorder="1" applyAlignment="1">
      <alignment horizontal="center" vertical="top" wrapText="1"/>
    </xf>
    <xf numFmtId="0" fontId="3" fillId="5" borderId="3" xfId="9606" applyFill="1" applyBorder="1" applyAlignment="1" applyProtection="1">
      <alignment horizontal="left"/>
      <protection locked="0"/>
    </xf>
    <xf numFmtId="0" fontId="3" fillId="5" borderId="4" xfId="9606" applyFill="1" applyBorder="1" applyAlignment="1" applyProtection="1">
      <alignment horizontal="left"/>
      <protection locked="0"/>
    </xf>
    <xf numFmtId="0" fontId="3" fillId="5" borderId="5" xfId="9606" applyFill="1" applyBorder="1" applyAlignment="1" applyProtection="1">
      <alignment horizontal="left"/>
      <protection locked="0"/>
    </xf>
    <xf numFmtId="0" fontId="3" fillId="5" borderId="1" xfId="9606" applyFill="1" applyBorder="1" applyAlignment="1" applyProtection="1">
      <alignment horizontal="left" vertical="top" wrapText="1"/>
      <protection locked="0"/>
    </xf>
    <xf numFmtId="0" fontId="3" fillId="5" borderId="2" xfId="9606" applyFill="1" applyBorder="1" applyAlignment="1" applyProtection="1">
      <alignment horizontal="left" vertical="top" wrapText="1"/>
      <protection locked="0"/>
    </xf>
    <xf numFmtId="0" fontId="3" fillId="5" borderId="7" xfId="9606" applyFill="1" applyBorder="1" applyAlignment="1" applyProtection="1">
      <alignment horizontal="left" vertical="top" wrapText="1"/>
      <protection locked="0"/>
    </xf>
    <xf numFmtId="0" fontId="3" fillId="5" borderId="9" xfId="9606" applyFill="1" applyBorder="1" applyAlignment="1" applyProtection="1">
      <alignment horizontal="left" vertical="top" wrapText="1"/>
      <protection locked="0"/>
    </xf>
    <xf numFmtId="0" fontId="3" fillId="5" borderId="6" xfId="9606" applyFill="1" applyBorder="1" applyAlignment="1" applyProtection="1">
      <alignment horizontal="left" vertical="top" wrapText="1"/>
      <protection locked="0"/>
    </xf>
    <xf numFmtId="0" fontId="3" fillId="5" borderId="10" xfId="9606" applyFill="1" applyBorder="1" applyAlignment="1" applyProtection="1">
      <alignment horizontal="left" vertical="top" wrapText="1"/>
      <protection locked="0"/>
    </xf>
    <xf numFmtId="0" fontId="3" fillId="5" borderId="1" xfId="9606" applyFill="1" applyBorder="1" applyAlignment="1" applyProtection="1">
      <alignment horizontal="center" vertical="top"/>
      <protection locked="0"/>
    </xf>
    <xf numFmtId="0" fontId="3" fillId="5" borderId="7" xfId="9606" applyFill="1" applyBorder="1" applyAlignment="1" applyProtection="1">
      <alignment horizontal="center" vertical="top"/>
      <protection locked="0"/>
    </xf>
    <xf numFmtId="0" fontId="3" fillId="5" borderId="9" xfId="9606" applyFill="1" applyBorder="1" applyAlignment="1" applyProtection="1">
      <alignment horizontal="center" vertical="top"/>
      <protection locked="0"/>
    </xf>
    <xf numFmtId="0" fontId="3" fillId="5" borderId="10" xfId="9606" applyFill="1" applyBorder="1" applyAlignment="1" applyProtection="1">
      <alignment horizontal="center" vertical="top"/>
      <protection locked="0"/>
    </xf>
    <xf numFmtId="0" fontId="3" fillId="5" borderId="3" xfId="9606" applyFill="1" applyBorder="1" applyAlignment="1" applyProtection="1">
      <alignment horizontal="left" vertical="top"/>
      <protection locked="0"/>
    </xf>
    <xf numFmtId="0" fontId="3" fillId="5" borderId="4" xfId="9606" applyFill="1" applyBorder="1" applyAlignment="1" applyProtection="1">
      <alignment horizontal="left" vertical="top"/>
      <protection locked="0"/>
    </xf>
    <xf numFmtId="0" fontId="3" fillId="5" borderId="5" xfId="9606" applyFill="1" applyBorder="1" applyAlignment="1" applyProtection="1">
      <alignment horizontal="left" vertical="top"/>
      <protection locked="0"/>
    </xf>
    <xf numFmtId="0" fontId="11" fillId="5" borderId="11" xfId="507" applyFont="1" applyFill="1" applyBorder="1" applyAlignment="1" applyProtection="1">
      <alignment horizontal="left" vertical="top" wrapText="1"/>
      <protection locked="0"/>
    </xf>
    <xf numFmtId="0" fontId="10" fillId="0" borderId="3" xfId="0" applyFont="1" applyBorder="1" applyAlignment="1">
      <alignment horizontal="center" wrapText="1"/>
    </xf>
    <xf numFmtId="0" fontId="36" fillId="0" borderId="0" xfId="0" applyFont="1" applyAlignment="1">
      <alignment horizontal="center"/>
    </xf>
    <xf numFmtId="0" fontId="10" fillId="5" borderId="11" xfId="0" applyFont="1" applyFill="1" applyBorder="1" applyAlignment="1" applyProtection="1">
      <alignment horizontal="center"/>
      <protection locked="0"/>
    </xf>
    <xf numFmtId="0" fontId="10" fillId="0" borderId="0" xfId="0" applyFont="1" applyAlignment="1">
      <alignment horizontal="center"/>
    </xf>
    <xf numFmtId="168" fontId="3" fillId="0" borderId="11" xfId="0" applyNumberFormat="1" applyFont="1" applyBorder="1" applyAlignment="1">
      <alignment horizontal="left" vertical="top"/>
    </xf>
    <xf numFmtId="0" fontId="3" fillId="0" borderId="13" xfId="507" applyFont="1" applyBorder="1" applyAlignment="1">
      <alignment horizontal="left" vertical="center" wrapText="1"/>
    </xf>
    <xf numFmtId="14" fontId="0" fillId="5" borderId="4" xfId="0" applyNumberFormat="1" applyFill="1" applyBorder="1" applyAlignment="1" applyProtection="1">
      <alignment horizontal="right"/>
      <protection locked="0"/>
    </xf>
    <xf numFmtId="1" fontId="3" fillId="0" borderId="11" xfId="0" applyNumberFormat="1" applyFont="1" applyBorder="1" applyAlignment="1">
      <alignment horizontal="center"/>
    </xf>
    <xf numFmtId="0" fontId="0" fillId="0" borderId="11" xfId="0" applyBorder="1" applyAlignment="1">
      <alignment horizontal="left"/>
    </xf>
    <xf numFmtId="0" fontId="111" fillId="0" borderId="0" xfId="0" applyFont="1" applyAlignment="1">
      <alignment horizontal="center" vertical="center" wrapText="1"/>
    </xf>
    <xf numFmtId="14" fontId="0" fillId="5" borderId="11" xfId="0" quotePrefix="1" applyNumberFormat="1" applyFill="1" applyBorder="1" applyAlignment="1" applyProtection="1">
      <alignment horizontal="right"/>
      <protection locked="0"/>
    </xf>
    <xf numFmtId="168" fontId="0" fillId="0" borderId="6" xfId="0" applyNumberFormat="1" applyBorder="1" applyAlignment="1">
      <alignment horizontal="center"/>
    </xf>
    <xf numFmtId="0" fontId="12" fillId="5" borderId="3" xfId="0" applyFont="1" applyFill="1" applyBorder="1" applyAlignment="1" applyProtection="1">
      <alignment horizontal="center"/>
      <protection locked="0"/>
    </xf>
    <xf numFmtId="0" fontId="3" fillId="0" borderId="11" xfId="235" applyFont="1" applyBorder="1" applyAlignment="1">
      <alignment horizontal="left"/>
    </xf>
    <xf numFmtId="0" fontId="11" fillId="5" borderId="6" xfId="0" applyFont="1" applyFill="1" applyBorder="1" applyAlignment="1" applyProtection="1">
      <alignment horizontal="left"/>
      <protection locked="0"/>
    </xf>
    <xf numFmtId="0" fontId="3" fillId="5" borderId="11" xfId="507" applyFont="1" applyFill="1" applyBorder="1" applyAlignment="1" applyProtection="1">
      <alignment horizontal="left" vertical="top" wrapText="1"/>
      <protection locked="0"/>
    </xf>
    <xf numFmtId="168" fontId="3" fillId="0" borderId="15" xfId="507" applyNumberFormat="1" applyFont="1" applyBorder="1" applyAlignment="1">
      <alignment horizontal="center" vertical="center"/>
    </xf>
    <xf numFmtId="0" fontId="23" fillId="0" borderId="15" xfId="507" applyFont="1" applyBorder="1" applyAlignment="1">
      <alignment horizontal="right"/>
    </xf>
    <xf numFmtId="0" fontId="12" fillId="5" borderId="6" xfId="235" applyFont="1" applyFill="1" applyBorder="1" applyProtection="1">
      <protection locked="0"/>
    </xf>
    <xf numFmtId="0" fontId="12" fillId="0" borderId="6" xfId="0" applyFont="1" applyBorder="1" applyAlignment="1">
      <alignment horizontal="left" wrapText="1"/>
    </xf>
    <xf numFmtId="0" fontId="10" fillId="0" borderId="6" xfId="0" applyFont="1" applyBorder="1" applyAlignment="1">
      <alignment horizontal="center"/>
    </xf>
    <xf numFmtId="0" fontId="0" fillId="0" borderId="10" xfId="0" applyBorder="1" applyAlignment="1">
      <alignment horizontal="center"/>
    </xf>
    <xf numFmtId="0" fontId="0" fillId="35" borderId="6" xfId="0" applyFill="1" applyBorder="1" applyAlignment="1" applyProtection="1">
      <alignment horizontal="left" vertical="top" wrapText="1"/>
      <protection locked="0"/>
    </xf>
    <xf numFmtId="168" fontId="0" fillId="0" borderId="5" xfId="0" applyNumberFormat="1" applyBorder="1" applyAlignment="1">
      <alignment horizontal="right"/>
    </xf>
    <xf numFmtId="164" fontId="0" fillId="5" borderId="6" xfId="0" applyNumberFormat="1" applyFill="1" applyBorder="1" applyAlignment="1" applyProtection="1">
      <alignment horizontal="left"/>
      <protection locked="0"/>
    </xf>
    <xf numFmtId="0" fontId="0" fillId="5" borderId="6" xfId="0" applyFill="1" applyBorder="1" applyAlignment="1" applyProtection="1">
      <alignment horizontal="left" vertical="top" wrapText="1"/>
      <protection locked="0"/>
    </xf>
    <xf numFmtId="168" fontId="12" fillId="0" borderId="4" xfId="0" applyNumberFormat="1" applyFont="1" applyBorder="1" applyAlignment="1">
      <alignment horizontal="center"/>
    </xf>
    <xf numFmtId="0" fontId="114" fillId="0" borderId="13" xfId="507" applyFont="1" applyBorder="1" applyAlignment="1">
      <alignment horizontal="center" wrapText="1"/>
    </xf>
    <xf numFmtId="0" fontId="3" fillId="0" borderId="15" xfId="0" applyFont="1" applyBorder="1" applyAlignment="1">
      <alignment horizontal="center" wrapText="1"/>
    </xf>
    <xf numFmtId="0" fontId="10" fillId="0" borderId="11" xfId="0" applyFont="1" applyBorder="1" applyAlignment="1">
      <alignment horizontal="center" vertical="center"/>
    </xf>
    <xf numFmtId="0" fontId="22" fillId="5" borderId="11" xfId="507" applyFont="1" applyFill="1" applyBorder="1" applyAlignment="1" applyProtection="1">
      <alignment horizontal="center" vertical="top"/>
      <protection locked="0"/>
    </xf>
    <xf numFmtId="3" fontId="12" fillId="0" borderId="11" xfId="0" applyNumberFormat="1" applyFont="1" applyBorder="1" applyAlignment="1">
      <alignment horizontal="center"/>
    </xf>
    <xf numFmtId="0" fontId="3" fillId="0" borderId="6" xfId="0" applyFont="1" applyBorder="1" applyAlignment="1" applyProtection="1">
      <alignment horizontal="left"/>
      <protection locked="0"/>
    </xf>
    <xf numFmtId="49" fontId="3" fillId="5" borderId="11" xfId="507" applyNumberFormat="1" applyFont="1" applyFill="1" applyBorder="1" applyAlignment="1">
      <alignment horizontal="center"/>
    </xf>
    <xf numFmtId="168" fontId="0" fillId="5" borderId="6" xfId="0" applyNumberFormat="1" applyFill="1" applyBorder="1" applyAlignment="1" applyProtection="1">
      <alignment horizontal="right"/>
      <protection locked="0"/>
    </xf>
    <xf numFmtId="166" fontId="11" fillId="5" borderId="3" xfId="0" applyNumberFormat="1" applyFont="1" applyFill="1" applyBorder="1" applyAlignment="1" applyProtection="1">
      <alignment horizontal="left"/>
      <protection locked="0"/>
    </xf>
    <xf numFmtId="0" fontId="11" fillId="0" borderId="0" xfId="0" applyFont="1" applyAlignment="1">
      <alignment horizontal="center"/>
    </xf>
    <xf numFmtId="0" fontId="3" fillId="5" borderId="6" xfId="0" applyFont="1" applyFill="1" applyBorder="1" applyAlignment="1" applyProtection="1">
      <alignment horizontal="center"/>
      <protection locked="0"/>
    </xf>
    <xf numFmtId="0" fontId="19" fillId="0" borderId="11" xfId="0" applyFont="1" applyBorder="1" applyAlignment="1">
      <alignment horizontal="center" vertical="center" wrapText="1"/>
    </xf>
    <xf numFmtId="168" fontId="3" fillId="5" borderId="11" xfId="0" applyNumberFormat="1" applyFont="1" applyFill="1" applyBorder="1" applyAlignment="1" applyProtection="1">
      <alignment horizontal="left"/>
      <protection locked="0"/>
    </xf>
    <xf numFmtId="0" fontId="3" fillId="0" borderId="0" xfId="0" applyFont="1" applyAlignment="1" applyProtection="1">
      <alignment horizontal="left"/>
      <protection locked="0"/>
    </xf>
    <xf numFmtId="172" fontId="3" fillId="0" borderId="0" xfId="507" applyNumberFormat="1" applyFont="1" applyAlignment="1">
      <alignment horizontal="right"/>
    </xf>
    <xf numFmtId="0" fontId="0" fillId="5" borderId="6" xfId="0" applyFill="1" applyBorder="1" applyAlignment="1" applyProtection="1">
      <alignment horizontal="right"/>
      <protection locked="0"/>
    </xf>
    <xf numFmtId="168" fontId="3" fillId="0" borderId="6" xfId="0" applyNumberFormat="1" applyFont="1" applyBorder="1" applyAlignment="1">
      <alignment horizontal="center"/>
    </xf>
    <xf numFmtId="1" fontId="0" fillId="5" borderId="5" xfId="0" applyNumberFormat="1" applyFill="1" applyBorder="1" applyAlignment="1" applyProtection="1">
      <alignment horizontal="center" vertical="center"/>
      <protection locked="0"/>
    </xf>
    <xf numFmtId="0" fontId="10" fillId="0" borderId="0" xfId="0" applyFont="1" applyAlignment="1">
      <alignment horizontal="center" vertical="center"/>
    </xf>
    <xf numFmtId="0" fontId="3" fillId="0" borderId="0" xfId="0" applyFont="1"/>
    <xf numFmtId="0" fontId="0" fillId="5" borderId="11" xfId="0" quotePrefix="1" applyFill="1" applyBorder="1" applyAlignment="1" applyProtection="1">
      <alignment horizontal="right"/>
      <protection locked="0"/>
    </xf>
    <xf numFmtId="1" fontId="0" fillId="5" borderId="4" xfId="0" applyNumberFormat="1" applyFill="1" applyBorder="1" applyAlignment="1" applyProtection="1">
      <alignment horizontal="center"/>
      <protection locked="0"/>
    </xf>
    <xf numFmtId="0" fontId="23" fillId="0" borderId="5" xfId="507" applyFont="1" applyBorder="1" applyAlignment="1">
      <alignment horizontal="right" vertical="top" wrapText="1"/>
    </xf>
    <xf numFmtId="0" fontId="43" fillId="2" borderId="11" xfId="0" applyFont="1" applyFill="1" applyBorder="1" applyAlignment="1">
      <alignment horizontal="center" vertical="top"/>
    </xf>
    <xf numFmtId="0" fontId="12" fillId="0" borderId="6" xfId="0" applyFont="1" applyBorder="1" applyAlignment="1">
      <alignment vertical="top" wrapText="1"/>
    </xf>
    <xf numFmtId="182" fontId="12" fillId="5" borderId="6" xfId="0" applyNumberFormat="1" applyFont="1" applyFill="1" applyBorder="1" applyAlignment="1" applyProtection="1">
      <alignment horizontal="left" vertical="top" wrapText="1"/>
      <protection locked="0"/>
    </xf>
    <xf numFmtId="0" fontId="12" fillId="0" borderId="2" xfId="0" applyFont="1" applyBorder="1" applyAlignment="1">
      <alignment horizontal="left" vertical="top" wrapText="1"/>
    </xf>
    <xf numFmtId="0" fontId="12" fillId="0" borderId="0" xfId="0" applyFont="1" applyAlignment="1">
      <alignment vertical="top" wrapText="1"/>
    </xf>
    <xf numFmtId="0" fontId="41" fillId="0" borderId="0" xfId="0" applyFont="1" applyAlignment="1">
      <alignment vertical="top" wrapText="1"/>
    </xf>
    <xf numFmtId="0" fontId="12" fillId="0" borderId="2" xfId="0" applyFont="1" applyBorder="1" applyAlignment="1">
      <alignment vertical="top" wrapText="1"/>
    </xf>
    <xf numFmtId="0" fontId="39" fillId="0" borderId="0" xfId="0" applyFont="1" applyAlignment="1">
      <alignment vertical="top" wrapText="1"/>
    </xf>
    <xf numFmtId="0" fontId="12" fillId="0" borderId="6" xfId="0" applyFont="1" applyBorder="1" applyAlignment="1">
      <alignment horizontal="right" vertical="top" wrapText="1"/>
    </xf>
    <xf numFmtId="0" fontId="38" fillId="0" borderId="0" xfId="0" applyFont="1" applyAlignment="1">
      <alignment vertical="top" wrapText="1"/>
    </xf>
    <xf numFmtId="0" fontId="39" fillId="0" borderId="0" xfId="530" applyFont="1" applyAlignment="1">
      <alignment vertical="top" wrapText="1"/>
    </xf>
    <xf numFmtId="0" fontId="38" fillId="0" borderId="0" xfId="530" applyFont="1" applyAlignment="1">
      <alignment vertical="top" wrapText="1"/>
    </xf>
    <xf numFmtId="0" fontId="9" fillId="3" borderId="11" xfId="0" applyFont="1" applyFill="1" applyBorder="1" applyAlignment="1">
      <alignment horizontal="left" vertical="top"/>
    </xf>
    <xf numFmtId="0" fontId="3" fillId="0" borderId="0" xfId="530" applyFont="1" applyAlignment="1">
      <alignment horizontal="right" vertical="top" wrapText="1"/>
    </xf>
    <xf numFmtId="0" fontId="60" fillId="0" borderId="0" xfId="530" applyFont="1" applyAlignment="1">
      <alignment vertical="top" wrapText="1"/>
    </xf>
    <xf numFmtId="10" fontId="125" fillId="36" borderId="73" xfId="8697" applyNumberFormat="1" applyFont="1" applyFill="1" applyBorder="1" applyAlignment="1">
      <alignment horizontal="center"/>
    </xf>
    <xf numFmtId="0" fontId="125" fillId="37" borderId="68" xfId="8697" applyFont="1" applyFill="1" applyBorder="1" applyAlignment="1">
      <alignment horizontal="center"/>
    </xf>
    <xf numFmtId="0" fontId="0" fillId="0" borderId="83" xfId="0" applyBorder="1"/>
    <xf numFmtId="168" fontId="126" fillId="40" borderId="11" xfId="661" applyNumberFormat="1" applyFont="1" applyFill="1" applyBorder="1" applyAlignment="1" applyProtection="1">
      <alignment horizontal="left"/>
      <protection locked="0"/>
    </xf>
    <xf numFmtId="0" fontId="125" fillId="36" borderId="41" xfId="8697" applyFont="1" applyFill="1" applyBorder="1" applyAlignment="1">
      <alignment horizontal="center"/>
    </xf>
    <xf numFmtId="0" fontId="0" fillId="0" borderId="40" xfId="0" applyBorder="1"/>
    <xf numFmtId="0" fontId="0" fillId="0" borderId="91" xfId="0" applyBorder="1"/>
    <xf numFmtId="1" fontId="124" fillId="40" borderId="11" xfId="8697" applyNumberFormat="1" applyFont="1" applyFill="1" applyBorder="1" applyAlignment="1" applyProtection="1">
      <alignment horizontal="center"/>
      <protection locked="0"/>
    </xf>
    <xf numFmtId="168" fontId="124" fillId="40" borderId="11" xfId="8698" applyNumberFormat="1" applyFont="1" applyFill="1" applyBorder="1" applyAlignment="1" applyProtection="1">
      <alignment horizontal="center"/>
      <protection locked="0"/>
    </xf>
    <xf numFmtId="9" fontId="117" fillId="36" borderId="73" xfId="8699" applyFont="1" applyFill="1" applyBorder="1" applyAlignment="1">
      <alignment horizontal="center"/>
    </xf>
    <xf numFmtId="0" fontId="124" fillId="40" borderId="5" xfId="8697" applyFont="1" applyFill="1" applyBorder="1" applyAlignment="1" applyProtection="1">
      <alignment horizontal="left"/>
      <protection locked="0"/>
    </xf>
    <xf numFmtId="0" fontId="124" fillId="40" borderId="70" xfId="8697" applyFont="1" applyFill="1" applyBorder="1" applyAlignment="1" applyProtection="1">
      <alignment horizontal="right"/>
      <protection locked="0"/>
    </xf>
    <xf numFmtId="1" fontId="129" fillId="40" borderId="11" xfId="8697" applyNumberFormat="1" applyFont="1" applyFill="1" applyBorder="1" applyAlignment="1" applyProtection="1">
      <alignment horizontal="center"/>
      <protection locked="0"/>
    </xf>
    <xf numFmtId="0" fontId="129" fillId="40" borderId="11" xfId="8697" applyFont="1" applyFill="1" applyBorder="1" applyAlignment="1" applyProtection="1">
      <alignment horizontal="center"/>
      <protection locked="0"/>
    </xf>
    <xf numFmtId="0" fontId="124" fillId="36" borderId="68" xfId="8697" applyFont="1" applyFill="1" applyBorder="1" applyAlignment="1">
      <alignment horizontal="center"/>
    </xf>
    <xf numFmtId="1" fontId="117" fillId="36" borderId="11" xfId="8697" applyNumberFormat="1" applyFont="1" applyFill="1" applyBorder="1" applyAlignment="1">
      <alignment horizontal="center"/>
    </xf>
    <xf numFmtId="0" fontId="124" fillId="36" borderId="11" xfId="8697" applyFont="1" applyFill="1" applyBorder="1" applyAlignment="1">
      <alignment horizontal="center"/>
    </xf>
    <xf numFmtId="0" fontId="126" fillId="40" borderId="70" xfId="8697" applyFont="1" applyFill="1" applyBorder="1" applyAlignment="1" applyProtection="1">
      <alignment horizontal="right"/>
      <protection locked="0"/>
    </xf>
    <xf numFmtId="0" fontId="73" fillId="36" borderId="0" xfId="8697" applyFont="1" applyFill="1" applyAlignment="1">
      <alignment horizontal="left"/>
    </xf>
    <xf numFmtId="0" fontId="2" fillId="0" borderId="0" xfId="8697" applyFont="1"/>
    <xf numFmtId="0" fontId="117" fillId="36" borderId="109" xfId="8697" applyFont="1" applyFill="1" applyBorder="1" applyAlignment="1">
      <alignment horizontal="center"/>
    </xf>
    <xf numFmtId="0" fontId="0" fillId="0" borderId="79" xfId="0" applyBorder="1"/>
    <xf numFmtId="9" fontId="124" fillId="40" borderId="70" xfId="8697" applyNumberFormat="1" applyFont="1" applyFill="1" applyBorder="1" applyAlignment="1" applyProtection="1">
      <alignment horizontal="center"/>
      <protection locked="0"/>
    </xf>
    <xf numFmtId="0" fontId="124" fillId="40" borderId="11" xfId="8697" applyFont="1" applyFill="1" applyBorder="1" applyAlignment="1" applyProtection="1">
      <alignment horizontal="center"/>
      <protection locked="0"/>
    </xf>
    <xf numFmtId="0" fontId="125" fillId="37" borderId="70" xfId="8697" applyFont="1" applyFill="1" applyBorder="1" applyAlignment="1">
      <alignment horizontal="center"/>
    </xf>
    <xf numFmtId="168" fontId="124" fillId="40" borderId="82" xfId="661" applyNumberFormat="1" applyFont="1" applyFill="1" applyBorder="1" applyAlignment="1" applyProtection="1">
      <alignment horizontal="left"/>
      <protection locked="0"/>
    </xf>
    <xf numFmtId="0" fontId="0" fillId="0" borderId="83" xfId="0" applyBorder="1" applyProtection="1">
      <protection locked="0"/>
    </xf>
    <xf numFmtId="0" fontId="0" fillId="0" borderId="82" xfId="0" applyBorder="1" applyProtection="1">
      <protection locked="0"/>
    </xf>
    <xf numFmtId="0" fontId="124" fillId="40" borderId="70" xfId="8697" applyFont="1" applyFill="1" applyBorder="1" applyAlignment="1" applyProtection="1">
      <alignment horizontal="left" vertical="top"/>
      <protection locked="0"/>
    </xf>
    <xf numFmtId="0" fontId="0" fillId="0" borderId="64" xfId="0" applyBorder="1" applyProtection="1">
      <protection locked="0"/>
    </xf>
    <xf numFmtId="0" fontId="0" fillId="0" borderId="12" xfId="0" applyBorder="1" applyProtection="1">
      <protection locked="0"/>
    </xf>
    <xf numFmtId="0" fontId="0" fillId="0" borderId="80" xfId="0" applyBorder="1" applyProtection="1">
      <protection locked="0"/>
    </xf>
    <xf numFmtId="0" fontId="124" fillId="40" borderId="70" xfId="8697" applyFont="1" applyFill="1" applyBorder="1" applyAlignment="1" applyProtection="1">
      <alignment horizontal="center"/>
      <protection locked="0"/>
    </xf>
    <xf numFmtId="0" fontId="117" fillId="37" borderId="11" xfId="8697" applyFont="1" applyFill="1" applyBorder="1" applyAlignment="1">
      <alignment horizontal="center" wrapText="1"/>
    </xf>
    <xf numFmtId="0" fontId="2" fillId="40" borderId="68" xfId="8697" applyFont="1" applyFill="1" applyBorder="1" applyAlignment="1" applyProtection="1">
      <alignment horizontal="center"/>
      <protection locked="0"/>
    </xf>
    <xf numFmtId="0" fontId="0" fillId="0" borderId="90" xfId="0" applyBorder="1" applyProtection="1">
      <protection locked="0"/>
    </xf>
    <xf numFmtId="0" fontId="123" fillId="37" borderId="70" xfId="8697" applyFont="1" applyFill="1" applyBorder="1" applyAlignment="1">
      <alignment horizontal="center"/>
    </xf>
    <xf numFmtId="0" fontId="126" fillId="40" borderId="11" xfId="8697" applyFont="1" applyFill="1" applyBorder="1" applyAlignment="1" applyProtection="1">
      <alignment horizontal="center"/>
      <protection locked="0"/>
    </xf>
    <xf numFmtId="0" fontId="117" fillId="37" borderId="65" xfId="8697" applyFont="1" applyFill="1" applyBorder="1" applyAlignment="1">
      <alignment horizontal="left"/>
    </xf>
    <xf numFmtId="0" fontId="121" fillId="40" borderId="66" xfId="8697" applyFont="1" applyFill="1" applyBorder="1" applyAlignment="1" applyProtection="1">
      <alignment horizontal="left" wrapText="1"/>
      <protection locked="0"/>
    </xf>
    <xf numFmtId="0" fontId="0" fillId="0" borderId="27" xfId="0" applyBorder="1" applyProtection="1">
      <protection locked="0"/>
    </xf>
    <xf numFmtId="0" fontId="0" fillId="0" borderId="26" xfId="0" applyBorder="1" applyProtection="1">
      <protection locked="0"/>
    </xf>
    <xf numFmtId="0" fontId="0" fillId="0" borderId="8" xfId="0" applyBorder="1" applyProtection="1">
      <protection locked="0"/>
    </xf>
    <xf numFmtId="0" fontId="118" fillId="37" borderId="65" xfId="8697" applyFont="1" applyFill="1" applyBorder="1" applyAlignment="1">
      <alignment horizontal="center"/>
    </xf>
    <xf numFmtId="0" fontId="125" fillId="37" borderId="13" xfId="8697" applyFont="1" applyFill="1" applyBorder="1" applyAlignment="1">
      <alignment horizontal="center" vertical="center" wrapText="1"/>
    </xf>
    <xf numFmtId="14" fontId="120" fillId="40" borderId="11" xfId="661" applyNumberFormat="1" applyFont="1" applyFill="1" applyBorder="1" applyAlignment="1" applyProtection="1">
      <alignment horizontal="center"/>
      <protection locked="0"/>
    </xf>
    <xf numFmtId="14" fontId="124" fillId="40" borderId="11" xfId="8697" applyNumberFormat="1" applyFont="1" applyFill="1" applyBorder="1" applyAlignment="1" applyProtection="1">
      <alignment horizontal="center"/>
      <protection locked="0"/>
    </xf>
    <xf numFmtId="0" fontId="128" fillId="37" borderId="70" xfId="8697" applyFont="1" applyFill="1" applyBorder="1" applyAlignment="1">
      <alignment horizontal="left"/>
    </xf>
    <xf numFmtId="168" fontId="124" fillId="36" borderId="11" xfId="661" applyNumberFormat="1" applyFont="1" applyFill="1" applyBorder="1" applyAlignment="1" applyProtection="1">
      <alignment horizontal="left"/>
      <protection locked="0"/>
    </xf>
    <xf numFmtId="0" fontId="117" fillId="37" borderId="11" xfId="8697" applyFont="1" applyFill="1" applyBorder="1" applyAlignment="1">
      <alignment horizontal="center" vertical="center" wrapText="1"/>
    </xf>
    <xf numFmtId="0" fontId="73" fillId="37" borderId="65" xfId="8697" applyFont="1" applyFill="1" applyBorder="1" applyAlignment="1">
      <alignment horizontal="center"/>
    </xf>
    <xf numFmtId="0" fontId="124" fillId="40" borderId="11" xfId="661" applyNumberFormat="1" applyFont="1" applyFill="1" applyBorder="1" applyAlignment="1" applyProtection="1">
      <alignment horizontal="left"/>
      <protection locked="0"/>
    </xf>
    <xf numFmtId="0" fontId="125" fillId="37" borderId="67" xfId="8697" applyFont="1" applyFill="1" applyBorder="1" applyAlignment="1">
      <alignment horizontal="right"/>
    </xf>
    <xf numFmtId="44" fontId="122" fillId="0" borderId="13" xfId="661" applyFont="1" applyBorder="1" applyAlignment="1" applyProtection="1">
      <alignment horizontal="center" wrapText="1"/>
      <protection hidden="1"/>
    </xf>
    <xf numFmtId="0" fontId="0" fillId="0" borderId="0" xfId="0" applyProtection="1">
      <protection hidden="1"/>
    </xf>
    <xf numFmtId="0" fontId="0" fillId="0" borderId="12" xfId="0" applyBorder="1" applyProtection="1">
      <protection hidden="1"/>
    </xf>
    <xf numFmtId="0" fontId="0" fillId="0" borderId="9" xfId="0" applyBorder="1" applyProtection="1">
      <protection hidden="1"/>
    </xf>
    <xf numFmtId="0" fontId="0" fillId="0" borderId="6" xfId="0" applyBorder="1" applyProtection="1">
      <protection hidden="1"/>
    </xf>
    <xf numFmtId="0" fontId="0" fillId="0" borderId="10" xfId="0" applyBorder="1" applyProtection="1">
      <protection hidden="1"/>
    </xf>
    <xf numFmtId="0" fontId="133" fillId="43" borderId="107" xfId="8697" applyFont="1" applyFill="1" applyBorder="1" applyAlignment="1">
      <alignment horizontal="center"/>
    </xf>
    <xf numFmtId="0" fontId="0" fillId="0" borderId="27" xfId="0" applyBorder="1"/>
    <xf numFmtId="0" fontId="0" fillId="0" borderId="29" xfId="0" applyBorder="1"/>
    <xf numFmtId="0" fontId="73" fillId="37" borderId="106" xfId="8697" applyFont="1" applyFill="1" applyBorder="1" applyAlignment="1">
      <alignment horizontal="center"/>
    </xf>
    <xf numFmtId="0" fontId="0" fillId="0" borderId="76" xfId="0" applyBorder="1"/>
    <xf numFmtId="0" fontId="0" fillId="0" borderId="75" xfId="0" applyBorder="1"/>
    <xf numFmtId="1" fontId="121" fillId="40" borderId="11" xfId="8697" applyNumberFormat="1" applyFont="1" applyFill="1" applyBorder="1" applyAlignment="1" applyProtection="1">
      <alignment horizontal="center"/>
      <protection locked="0"/>
    </xf>
    <xf numFmtId="0" fontId="125" fillId="37" borderId="11" xfId="8697" applyFont="1" applyFill="1" applyBorder="1" applyAlignment="1">
      <alignment horizontal="center"/>
    </xf>
    <xf numFmtId="14" fontId="121" fillId="40" borderId="11" xfId="8697" applyNumberFormat="1" applyFont="1" applyFill="1" applyBorder="1" applyAlignment="1" applyProtection="1">
      <alignment horizontal="center" vertical="center"/>
      <protection locked="0"/>
    </xf>
    <xf numFmtId="0" fontId="128" fillId="37" borderId="11" xfId="8697" applyFont="1" applyFill="1" applyBorder="1" applyAlignment="1">
      <alignment horizontal="right"/>
    </xf>
    <xf numFmtId="0" fontId="118" fillId="37" borderId="113" xfId="8697" applyFont="1" applyFill="1" applyBorder="1" applyAlignment="1">
      <alignment horizontal="center"/>
    </xf>
    <xf numFmtId="0" fontId="2" fillId="40" borderId="11" xfId="8697" applyFont="1" applyFill="1" applyBorder="1" applyAlignment="1" applyProtection="1">
      <alignment horizontal="center"/>
      <protection locked="0"/>
    </xf>
    <xf numFmtId="0" fontId="0" fillId="0" borderId="80" xfId="0" applyBorder="1"/>
    <xf numFmtId="1" fontId="129" fillId="40" borderId="68" xfId="8697" applyNumberFormat="1" applyFont="1" applyFill="1" applyBorder="1" applyAlignment="1" applyProtection="1">
      <alignment horizontal="center"/>
      <protection locked="0"/>
    </xf>
    <xf numFmtId="0" fontId="124" fillId="36" borderId="67" xfId="8697" applyFont="1" applyFill="1" applyBorder="1" applyAlignment="1" applyProtection="1">
      <alignment horizontal="right"/>
      <protection locked="0"/>
    </xf>
    <xf numFmtId="0" fontId="73" fillId="37" borderId="65" xfId="8697" applyFont="1" applyFill="1" applyBorder="1" applyAlignment="1">
      <alignment horizontal="left" wrapText="1"/>
    </xf>
    <xf numFmtId="0" fontId="0" fillId="0" borderId="26" xfId="0" applyBorder="1"/>
    <xf numFmtId="0" fontId="0" fillId="0" borderId="64" xfId="0" applyBorder="1"/>
    <xf numFmtId="0" fontId="125" fillId="36" borderId="86" xfId="8697" applyFont="1" applyFill="1" applyBorder="1" applyAlignment="1">
      <alignment horizontal="center"/>
    </xf>
    <xf numFmtId="0" fontId="121" fillId="40" borderId="72" xfId="8697" applyFont="1" applyFill="1" applyBorder="1" applyAlignment="1" applyProtection="1">
      <alignment horizontal="left"/>
      <protection locked="0"/>
    </xf>
    <xf numFmtId="0" fontId="0" fillId="0" borderId="88" xfId="0" applyBorder="1" applyProtection="1">
      <protection locked="0"/>
    </xf>
    <xf numFmtId="0" fontId="0" fillId="0" borderId="72" xfId="0" applyBorder="1" applyProtection="1">
      <protection locked="0"/>
    </xf>
    <xf numFmtId="0" fontId="126" fillId="40" borderId="11" xfId="8697" applyFont="1" applyFill="1" applyBorder="1" applyAlignment="1" applyProtection="1">
      <alignment horizontal="left"/>
      <protection locked="0"/>
    </xf>
    <xf numFmtId="0" fontId="124" fillId="37" borderId="70" xfId="8697" applyFont="1" applyFill="1" applyBorder="1" applyAlignment="1">
      <alignment horizontal="right"/>
    </xf>
    <xf numFmtId="0" fontId="128" fillId="37" borderId="67" xfId="8697" applyFont="1" applyFill="1" applyBorder="1" applyAlignment="1">
      <alignment horizontal="left"/>
    </xf>
    <xf numFmtId="0" fontId="124" fillId="40" borderId="67" xfId="8697" applyFont="1" applyFill="1" applyBorder="1" applyAlignment="1" applyProtection="1">
      <alignment horizontal="center"/>
      <protection locked="0"/>
    </xf>
    <xf numFmtId="0" fontId="73" fillId="37" borderId="70" xfId="8697" applyFont="1" applyFill="1" applyBorder="1" applyAlignment="1">
      <alignment horizontal="center"/>
    </xf>
    <xf numFmtId="0" fontId="2" fillId="40" borderId="109" xfId="8697" applyFont="1" applyFill="1" applyBorder="1" applyAlignment="1" applyProtection="1">
      <alignment horizontal="center"/>
      <protection locked="0"/>
    </xf>
    <xf numFmtId="0" fontId="0" fillId="0" borderId="79" xfId="0" applyBorder="1" applyProtection="1">
      <protection locked="0"/>
    </xf>
    <xf numFmtId="14" fontId="121" fillId="40" borderId="11" xfId="8697" applyNumberFormat="1" applyFont="1" applyFill="1" applyBorder="1" applyAlignment="1" applyProtection="1">
      <alignment horizontal="center"/>
      <protection locked="0"/>
    </xf>
    <xf numFmtId="9" fontId="125" fillId="40" borderId="13" xfId="8697" applyNumberFormat="1" applyFont="1" applyFill="1" applyBorder="1" applyAlignment="1" applyProtection="1">
      <alignment horizontal="center"/>
      <protection locked="0"/>
    </xf>
    <xf numFmtId="0" fontId="125" fillId="37" borderId="73" xfId="8697" applyFont="1" applyFill="1" applyBorder="1" applyAlignment="1">
      <alignment horizontal="center"/>
    </xf>
    <xf numFmtId="0" fontId="118" fillId="37" borderId="11" xfId="8697" applyFont="1" applyFill="1" applyBorder="1" applyAlignment="1">
      <alignment horizontal="center"/>
    </xf>
    <xf numFmtId="0" fontId="122" fillId="37" borderId="11" xfId="8697" applyFont="1" applyFill="1" applyBorder="1" applyAlignment="1">
      <alignment horizontal="right"/>
    </xf>
    <xf numFmtId="0" fontId="121" fillId="36" borderId="106" xfId="8697" applyFont="1" applyFill="1" applyBorder="1" applyAlignment="1">
      <alignment horizontal="left"/>
    </xf>
    <xf numFmtId="0" fontId="2" fillId="36" borderId="81" xfId="8697" applyFont="1" applyFill="1" applyBorder="1" applyAlignment="1">
      <alignment horizontal="center"/>
    </xf>
    <xf numFmtId="0" fontId="0" fillId="0" borderId="95" xfId="0" applyBorder="1"/>
    <xf numFmtId="0" fontId="2" fillId="37" borderId="11" xfId="8697" applyFont="1" applyFill="1" applyBorder="1" applyAlignment="1">
      <alignment horizontal="center"/>
    </xf>
    <xf numFmtId="0" fontId="2" fillId="36" borderId="106" xfId="8697" applyFont="1" applyFill="1" applyBorder="1" applyAlignment="1">
      <alignment horizontal="center"/>
    </xf>
    <xf numFmtId="0" fontId="121" fillId="40" borderId="73" xfId="8697" applyFont="1" applyFill="1" applyBorder="1" applyAlignment="1" applyProtection="1">
      <alignment horizontal="center"/>
      <protection locked="0"/>
    </xf>
    <xf numFmtId="0" fontId="0" fillId="0" borderId="78" xfId="0" applyBorder="1" applyProtection="1">
      <protection locked="0"/>
    </xf>
    <xf numFmtId="168" fontId="118" fillId="37" borderId="41" xfId="8697" applyNumberFormat="1" applyFont="1" applyFill="1" applyBorder="1" applyAlignment="1">
      <alignment horizontal="left"/>
    </xf>
    <xf numFmtId="0" fontId="121" fillId="41" borderId="70" xfId="659" applyNumberFormat="1" applyFont="1" applyFill="1" applyBorder="1" applyAlignment="1" applyProtection="1">
      <alignment horizontal="center"/>
      <protection hidden="1"/>
    </xf>
    <xf numFmtId="0" fontId="0" fillId="0" borderId="4" xfId="0" applyBorder="1" applyProtection="1">
      <protection hidden="1"/>
    </xf>
    <xf numFmtId="0" fontId="0" fillId="0" borderId="5" xfId="0" applyBorder="1" applyProtection="1">
      <protection hidden="1"/>
    </xf>
    <xf numFmtId="0" fontId="125" fillId="37" borderId="11" xfId="8697" applyFont="1" applyFill="1" applyBorder="1" applyAlignment="1">
      <alignment horizontal="center" wrapText="1"/>
    </xf>
    <xf numFmtId="0" fontId="121" fillId="40" borderId="11" xfId="530" applyFont="1" applyFill="1" applyBorder="1" applyAlignment="1" applyProtection="1">
      <alignment horizontal="center"/>
      <protection locked="0"/>
    </xf>
    <xf numFmtId="168" fontId="122" fillId="39" borderId="0" xfId="661" applyNumberFormat="1" applyFont="1" applyFill="1" applyAlignment="1" applyProtection="1">
      <alignment horizontal="left"/>
      <protection locked="0"/>
    </xf>
    <xf numFmtId="0" fontId="117" fillId="37" borderId="92" xfId="8697" applyFont="1" applyFill="1" applyBorder="1" applyAlignment="1">
      <alignment horizontal="center" vertical="center" wrapText="1"/>
    </xf>
    <xf numFmtId="43" fontId="122" fillId="41" borderId="13" xfId="659" applyFont="1" applyFill="1" applyBorder="1" applyAlignment="1" applyProtection="1">
      <alignment horizontal="center" wrapText="1"/>
      <protection hidden="1"/>
    </xf>
    <xf numFmtId="0" fontId="118" fillId="40" borderId="108" xfId="8697" applyFont="1" applyFill="1" applyBorder="1" applyAlignment="1">
      <alignment horizontal="center"/>
    </xf>
    <xf numFmtId="0" fontId="0" fillId="0" borderId="39" xfId="0" applyBorder="1"/>
    <xf numFmtId="168" fontId="124" fillId="40" borderId="11" xfId="661" applyNumberFormat="1" applyFont="1" applyFill="1" applyBorder="1" applyAlignment="1" applyProtection="1">
      <alignment horizontal="left"/>
      <protection locked="0"/>
    </xf>
    <xf numFmtId="14" fontId="126" fillId="40" borderId="11" xfId="8697" applyNumberFormat="1" applyFont="1" applyFill="1" applyBorder="1" applyAlignment="1" applyProtection="1">
      <alignment horizontal="center"/>
      <protection locked="0"/>
    </xf>
    <xf numFmtId="0" fontId="121" fillId="40" borderId="106" xfId="8697" applyFont="1" applyFill="1" applyBorder="1" applyAlignment="1" applyProtection="1">
      <alignment horizontal="center"/>
      <protection locked="0"/>
    </xf>
    <xf numFmtId="0" fontId="0" fillId="0" borderId="76" xfId="0" applyBorder="1" applyProtection="1">
      <protection locked="0"/>
    </xf>
    <xf numFmtId="0" fontId="0" fillId="0" borderId="75" xfId="0" applyBorder="1" applyProtection="1">
      <protection locked="0"/>
    </xf>
    <xf numFmtId="175" fontId="2" fillId="0" borderId="13" xfId="8697" applyNumberFormat="1" applyFont="1" applyBorder="1" applyAlignment="1">
      <alignment horizontal="center"/>
    </xf>
    <xf numFmtId="0" fontId="73" fillId="39" borderId="0" xfId="8697" applyFont="1" applyFill="1" applyAlignment="1">
      <alignment horizontal="center"/>
    </xf>
    <xf numFmtId="0" fontId="123" fillId="37" borderId="67" xfId="8697" applyFont="1" applyFill="1" applyBorder="1" applyAlignment="1">
      <alignment horizontal="center"/>
    </xf>
    <xf numFmtId="0" fontId="124" fillId="40" borderId="11" xfId="8697" applyFont="1" applyFill="1" applyBorder="1" applyAlignment="1" applyProtection="1">
      <alignment horizontal="left"/>
      <protection locked="0"/>
    </xf>
    <xf numFmtId="0" fontId="73" fillId="36" borderId="0" xfId="8691" applyFont="1" applyFill="1" applyAlignment="1">
      <alignment horizontal="left" vertical="top"/>
    </xf>
    <xf numFmtId="0" fontId="117" fillId="37" borderId="11" xfId="8697" applyFont="1" applyFill="1" applyBorder="1" applyAlignment="1">
      <alignment horizontal="center"/>
    </xf>
    <xf numFmtId="9" fontId="121" fillId="40" borderId="11" xfId="983" applyFont="1" applyFill="1" applyBorder="1" applyAlignment="1" applyProtection="1">
      <alignment horizontal="center"/>
      <protection locked="0"/>
    </xf>
    <xf numFmtId="0" fontId="73" fillId="37" borderId="106" xfId="8697" applyFont="1" applyFill="1" applyBorder="1" applyAlignment="1">
      <alignment horizontal="left" wrapText="1"/>
    </xf>
    <xf numFmtId="0" fontId="0" fillId="0" borderId="71" xfId="0" applyBorder="1"/>
    <xf numFmtId="0" fontId="0" fillId="0" borderId="42" xfId="0" applyBorder="1"/>
    <xf numFmtId="168" fontId="121" fillId="40" borderId="11" xfId="661" applyNumberFormat="1" applyFont="1" applyFill="1" applyBorder="1" applyAlignment="1" applyProtection="1">
      <alignment horizontal="center"/>
      <protection locked="0"/>
    </xf>
    <xf numFmtId="0" fontId="73" fillId="39" borderId="0" xfId="8697" applyFont="1" applyFill="1" applyAlignment="1">
      <alignment horizontal="left"/>
    </xf>
    <xf numFmtId="175" fontId="2" fillId="40" borderId="11" xfId="661" applyNumberFormat="1" applyFont="1" applyFill="1" applyBorder="1" applyAlignment="1" applyProtection="1">
      <alignment horizontal="center"/>
      <protection locked="0"/>
    </xf>
    <xf numFmtId="0" fontId="125" fillId="37" borderId="67" xfId="8697" applyFont="1" applyFill="1" applyBorder="1" applyAlignment="1">
      <alignment horizontal="center"/>
    </xf>
    <xf numFmtId="168" fontId="118" fillId="0" borderId="11" xfId="661" applyNumberFormat="1" applyFont="1" applyBorder="1" applyAlignment="1" applyProtection="1">
      <alignment horizontal="center"/>
      <protection hidden="1"/>
    </xf>
    <xf numFmtId="0" fontId="124" fillId="40" borderId="68" xfId="8697" applyFont="1" applyFill="1" applyBorder="1" applyAlignment="1" applyProtection="1">
      <alignment horizontal="left"/>
      <protection locked="0"/>
    </xf>
    <xf numFmtId="0" fontId="118" fillId="39" borderId="0" xfId="8697" applyFont="1" applyFill="1" applyAlignment="1">
      <alignment horizontal="left" vertical="top" wrapText="1"/>
    </xf>
    <xf numFmtId="0" fontId="118" fillId="37" borderId="73" xfId="8697" applyFont="1" applyFill="1" applyBorder="1" applyAlignment="1">
      <alignment horizontal="center"/>
    </xf>
    <xf numFmtId="0" fontId="119" fillId="39" borderId="107" xfId="8697" applyFont="1" applyFill="1" applyBorder="1" applyAlignment="1">
      <alignment horizontal="center"/>
    </xf>
    <xf numFmtId="0" fontId="2" fillId="39" borderId="108" xfId="8697" applyFont="1" applyFill="1" applyBorder="1" applyAlignment="1">
      <alignment horizontal="center"/>
    </xf>
    <xf numFmtId="0" fontId="117" fillId="40" borderId="70" xfId="8697" applyFont="1" applyFill="1" applyBorder="1" applyAlignment="1">
      <alignment horizontal="left"/>
    </xf>
    <xf numFmtId="0" fontId="123" fillId="40" borderId="110" xfId="8697" applyFont="1" applyFill="1" applyBorder="1" applyAlignment="1">
      <alignment horizontal="left" wrapText="1"/>
    </xf>
    <xf numFmtId="10" fontId="124" fillId="40" borderId="11" xfId="983" applyNumberFormat="1" applyFont="1" applyFill="1" applyBorder="1" applyAlignment="1" applyProtection="1">
      <alignment horizontal="center"/>
      <protection locked="0"/>
    </xf>
    <xf numFmtId="0" fontId="118" fillId="39" borderId="108" xfId="8697" applyFont="1" applyFill="1" applyBorder="1" applyAlignment="1">
      <alignment horizontal="center"/>
    </xf>
    <xf numFmtId="0" fontId="120" fillId="42" borderId="73" xfId="659" applyNumberFormat="1" applyFont="1" applyFill="1" applyBorder="1" applyAlignment="1" applyProtection="1">
      <alignment horizontal="center"/>
      <protection locked="0"/>
    </xf>
    <xf numFmtId="0" fontId="124" fillId="40" borderId="70" xfId="8697" applyFont="1" applyFill="1" applyBorder="1" applyAlignment="1" applyProtection="1">
      <alignment horizontal="left" vertical="top" wrapText="1"/>
      <protection locked="0"/>
    </xf>
    <xf numFmtId="0" fontId="124" fillId="37" borderId="11" xfId="8697" applyFont="1" applyFill="1" applyBorder="1" applyAlignment="1">
      <alignment horizontal="left"/>
    </xf>
    <xf numFmtId="0" fontId="124" fillId="36" borderId="70" xfId="8697" applyFont="1" applyFill="1" applyBorder="1" applyAlignment="1" applyProtection="1">
      <alignment horizontal="right"/>
      <protection locked="0"/>
    </xf>
    <xf numFmtId="0" fontId="118" fillId="37" borderId="70" xfId="8697" applyFont="1" applyFill="1" applyBorder="1" applyAlignment="1">
      <alignment horizontal="center"/>
    </xf>
    <xf numFmtId="43" fontId="118" fillId="42" borderId="102" xfId="659" applyFont="1" applyFill="1" applyBorder="1" applyAlignment="1" applyProtection="1">
      <alignment horizontal="center"/>
      <protection hidden="1"/>
    </xf>
    <xf numFmtId="0" fontId="0" fillId="0" borderId="76" xfId="0" applyBorder="1" applyProtection="1">
      <protection hidden="1"/>
    </xf>
    <xf numFmtId="0" fontId="0" fillId="0" borderId="95" xfId="0" applyBorder="1" applyProtection="1">
      <protection hidden="1"/>
    </xf>
    <xf numFmtId="0" fontId="118" fillId="37" borderId="107" xfId="8697" applyFont="1" applyFill="1" applyBorder="1" applyAlignment="1">
      <alignment horizontal="center"/>
    </xf>
    <xf numFmtId="0" fontId="127" fillId="40" borderId="68" xfId="8697" applyFont="1" applyFill="1" applyBorder="1" applyAlignment="1" applyProtection="1">
      <alignment horizontal="left"/>
      <protection locked="0"/>
    </xf>
    <xf numFmtId="0" fontId="73" fillId="37" borderId="67" xfId="8697" applyFont="1" applyFill="1" applyBorder="1" applyAlignment="1">
      <alignment horizontal="center"/>
    </xf>
    <xf numFmtId="0" fontId="121" fillId="40" borderId="66" xfId="8697" applyFont="1" applyFill="1" applyBorder="1" applyAlignment="1" applyProtection="1">
      <alignment horizontal="left"/>
      <protection locked="0"/>
    </xf>
    <xf numFmtId="0" fontId="125" fillId="37" borderId="68" xfId="8698" applyNumberFormat="1" applyFont="1" applyFill="1" applyBorder="1" applyAlignment="1">
      <alignment horizontal="center"/>
    </xf>
    <xf numFmtId="0" fontId="126" fillId="40" borderId="70" xfId="8697" applyFont="1" applyFill="1" applyBorder="1" applyAlignment="1" applyProtection="1">
      <alignment horizontal="center"/>
      <protection locked="0"/>
    </xf>
    <xf numFmtId="168" fontId="126" fillId="36" borderId="11" xfId="661" applyNumberFormat="1" applyFont="1" applyFill="1" applyBorder="1" applyAlignment="1">
      <alignment horizontal="left"/>
    </xf>
    <xf numFmtId="0" fontId="118" fillId="37" borderId="67" xfId="8697" applyFont="1" applyFill="1" applyBorder="1" applyAlignment="1">
      <alignment horizontal="center"/>
    </xf>
    <xf numFmtId="0" fontId="124" fillId="40" borderId="84" xfId="8697" applyFont="1" applyFill="1" applyBorder="1" applyAlignment="1" applyProtection="1">
      <alignment horizontal="center"/>
      <protection locked="0"/>
    </xf>
    <xf numFmtId="168" fontId="126" fillId="40" borderId="11" xfId="8698" applyNumberFormat="1" applyFont="1" applyFill="1" applyBorder="1" applyAlignment="1" applyProtection="1">
      <alignment horizontal="center"/>
      <protection locked="0"/>
    </xf>
    <xf numFmtId="43" fontId="122" fillId="41" borderId="92" xfId="659" applyFont="1" applyFill="1" applyBorder="1" applyAlignment="1" applyProtection="1">
      <alignment horizontal="center" wrapText="1"/>
      <protection hidden="1"/>
    </xf>
    <xf numFmtId="0" fontId="0" fillId="0" borderId="80" xfId="0" applyBorder="1" applyProtection="1">
      <protection hidden="1"/>
    </xf>
    <xf numFmtId="44" fontId="2" fillId="40" borderId="11" xfId="661" applyFont="1" applyFill="1" applyBorder="1" applyAlignment="1" applyProtection="1">
      <alignment horizontal="center"/>
      <protection locked="0"/>
    </xf>
    <xf numFmtId="14" fontId="122" fillId="0" borderId="13" xfId="661" applyNumberFormat="1" applyFont="1" applyBorder="1" applyAlignment="1" applyProtection="1">
      <alignment horizontal="center" wrapText="1"/>
      <protection hidden="1"/>
    </xf>
    <xf numFmtId="0" fontId="2" fillId="40" borderId="106" xfId="8697" applyFont="1" applyFill="1" applyBorder="1" applyAlignment="1" applyProtection="1">
      <alignment horizontal="left"/>
      <protection locked="0"/>
    </xf>
    <xf numFmtId="14" fontId="124" fillId="40" borderId="68" xfId="8697" applyNumberFormat="1" applyFont="1" applyFill="1" applyBorder="1" applyAlignment="1" applyProtection="1">
      <alignment horizontal="center"/>
      <protection locked="0"/>
    </xf>
    <xf numFmtId="0" fontId="117" fillId="37" borderId="70" xfId="8697" applyFont="1" applyFill="1" applyBorder="1" applyAlignment="1">
      <alignment horizontal="left"/>
    </xf>
    <xf numFmtId="9" fontId="118" fillId="0" borderId="11" xfId="983" applyFont="1" applyBorder="1" applyAlignment="1" applyProtection="1">
      <alignment horizontal="center"/>
      <protection hidden="1"/>
    </xf>
    <xf numFmtId="0" fontId="2" fillId="0" borderId="13" xfId="8697" applyFont="1" applyBorder="1" applyAlignment="1">
      <alignment horizontal="center"/>
    </xf>
    <xf numFmtId="0" fontId="131" fillId="37" borderId="11" xfId="8697" applyFont="1" applyFill="1" applyBorder="1" applyAlignment="1">
      <alignment horizontal="left"/>
    </xf>
    <xf numFmtId="0" fontId="125" fillId="37" borderId="114" xfId="8697" applyFont="1" applyFill="1" applyBorder="1" applyAlignment="1">
      <alignment horizontal="center"/>
    </xf>
    <xf numFmtId="1" fontId="2" fillId="36" borderId="11" xfId="8697" applyNumberFormat="1" applyFont="1" applyFill="1" applyBorder="1" applyAlignment="1">
      <alignment horizontal="center"/>
    </xf>
    <xf numFmtId="0" fontId="118" fillId="37" borderId="86" xfId="8697" applyFont="1" applyFill="1" applyBorder="1" applyAlignment="1">
      <alignment horizontal="right"/>
    </xf>
    <xf numFmtId="0" fontId="118" fillId="37" borderId="92" xfId="8697" applyFont="1" applyFill="1" applyBorder="1" applyAlignment="1">
      <alignment horizontal="center"/>
    </xf>
    <xf numFmtId="0" fontId="127" fillId="40" borderId="11" xfId="8697" applyFont="1" applyFill="1" applyBorder="1" applyAlignment="1" applyProtection="1">
      <alignment horizontal="left"/>
      <protection locked="0"/>
    </xf>
    <xf numFmtId="44" fontId="118" fillId="0" borderId="11" xfId="661" applyFont="1" applyBorder="1" applyAlignment="1" applyProtection="1">
      <alignment horizontal="center"/>
      <protection hidden="1"/>
    </xf>
    <xf numFmtId="0" fontId="73" fillId="37" borderId="65" xfId="8697" applyFont="1" applyFill="1" applyBorder="1" applyAlignment="1">
      <alignment horizontal="center" wrapText="1"/>
    </xf>
    <xf numFmtId="0" fontId="73" fillId="39" borderId="40" xfId="8697" applyFont="1" applyFill="1" applyBorder="1" applyAlignment="1">
      <alignment horizontal="center"/>
    </xf>
    <xf numFmtId="0" fontId="121" fillId="40" borderId="66" xfId="8697" applyFont="1" applyFill="1" applyBorder="1" applyAlignment="1" applyProtection="1">
      <alignment horizontal="left" vertical="center" wrapText="1"/>
      <protection locked="0"/>
    </xf>
    <xf numFmtId="0" fontId="126" fillId="37" borderId="70" xfId="8697" applyFont="1" applyFill="1" applyBorder="1" applyAlignment="1">
      <alignment horizontal="right"/>
    </xf>
    <xf numFmtId="43" fontId="118" fillId="37" borderId="106" xfId="659" applyFont="1" applyFill="1" applyBorder="1" applyAlignment="1" applyProtection="1">
      <alignment horizontal="center"/>
      <protection hidden="1"/>
    </xf>
    <xf numFmtId="0" fontId="0" fillId="0" borderId="75" xfId="0" applyBorder="1" applyProtection="1">
      <protection hidden="1"/>
    </xf>
    <xf numFmtId="0" fontId="73" fillId="37" borderId="11" xfId="8697" applyFont="1" applyFill="1" applyBorder="1" applyAlignment="1">
      <alignment horizontal="center"/>
    </xf>
    <xf numFmtId="0" fontId="126" fillId="37" borderId="65" xfId="8697" applyFont="1" applyFill="1" applyBorder="1" applyAlignment="1">
      <alignment horizontal="right"/>
    </xf>
    <xf numFmtId="0" fontId="118" fillId="37" borderId="66" xfId="8697" applyFont="1" applyFill="1" applyBorder="1" applyAlignment="1">
      <alignment horizontal="center"/>
    </xf>
    <xf numFmtId="0" fontId="126" fillId="40" borderId="70" xfId="8697" applyFont="1" applyFill="1" applyBorder="1" applyAlignment="1" applyProtection="1">
      <alignment horizontal="left" vertical="top"/>
      <protection locked="0"/>
    </xf>
    <xf numFmtId="44" fontId="2" fillId="40" borderId="13" xfId="661" applyFont="1" applyFill="1" applyBorder="1" applyAlignment="1" applyProtection="1">
      <alignment horizontal="center"/>
      <protection locked="0"/>
    </xf>
    <xf numFmtId="1" fontId="125" fillId="37" borderId="68" xfId="8698" applyNumberFormat="1" applyFont="1" applyFill="1" applyBorder="1" applyAlignment="1">
      <alignment horizontal="center"/>
    </xf>
    <xf numFmtId="0" fontId="73" fillId="37" borderId="107" xfId="8697" applyFont="1" applyFill="1" applyBorder="1" applyAlignment="1">
      <alignment horizontal="center"/>
    </xf>
    <xf numFmtId="0" fontId="117" fillId="36" borderId="0" xfId="8697" applyFont="1" applyFill="1" applyAlignment="1">
      <alignment horizontal="left" vertical="top"/>
    </xf>
    <xf numFmtId="0" fontId="121" fillId="40" borderId="11" xfId="8697" applyFont="1" applyFill="1" applyBorder="1" applyAlignment="1" applyProtection="1">
      <alignment horizontal="center" vertical="center" wrapText="1"/>
      <protection locked="0"/>
    </xf>
    <xf numFmtId="0" fontId="126" fillId="40" borderId="68" xfId="8697" applyFont="1" applyFill="1" applyBorder="1" applyAlignment="1" applyProtection="1">
      <alignment horizontal="left"/>
      <protection locked="0"/>
    </xf>
    <xf numFmtId="43" fontId="122" fillId="41" borderId="109" xfId="659" applyFont="1" applyFill="1" applyBorder="1" applyAlignment="1" applyProtection="1">
      <alignment horizontal="center" wrapText="1"/>
      <protection hidden="1"/>
    </xf>
    <xf numFmtId="0" fontId="0" fillId="0" borderId="39" xfId="0" applyBorder="1" applyProtection="1">
      <protection hidden="1"/>
    </xf>
    <xf numFmtId="0" fontId="0" fillId="0" borderId="79" xfId="0" applyBorder="1" applyProtection="1">
      <protection hidden="1"/>
    </xf>
    <xf numFmtId="43" fontId="118" fillId="41" borderId="73" xfId="659" applyFont="1" applyFill="1" applyBorder="1" applyAlignment="1" applyProtection="1">
      <alignment horizontal="center"/>
      <protection hidden="1"/>
    </xf>
    <xf numFmtId="0" fontId="0" fillId="0" borderId="78" xfId="0" applyBorder="1" applyProtection="1">
      <protection hidden="1"/>
    </xf>
    <xf numFmtId="0" fontId="125" fillId="37" borderId="11" xfId="8697" applyFont="1" applyFill="1" applyBorder="1" applyAlignment="1">
      <alignment horizontal="right"/>
    </xf>
    <xf numFmtId="9" fontId="117" fillId="40" borderId="13" xfId="8697" applyNumberFormat="1" applyFont="1" applyFill="1" applyBorder="1" applyAlignment="1" applyProtection="1">
      <alignment horizontal="center"/>
      <protection locked="0"/>
    </xf>
    <xf numFmtId="0" fontId="118" fillId="37" borderId="65" xfId="8697" applyFont="1" applyFill="1" applyBorder="1" applyAlignment="1">
      <alignment horizontal="left"/>
    </xf>
    <xf numFmtId="9" fontId="125" fillId="36" borderId="85" xfId="983" applyFont="1" applyFill="1" applyBorder="1" applyAlignment="1">
      <alignment horizontal="center"/>
    </xf>
    <xf numFmtId="43" fontId="121" fillId="42" borderId="70" xfId="659" applyFont="1" applyFill="1" applyBorder="1" applyAlignment="1" applyProtection="1">
      <alignment horizontal="left" wrapText="1"/>
      <protection hidden="1"/>
    </xf>
    <xf numFmtId="0" fontId="117" fillId="36" borderId="13" xfId="8697" applyFont="1" applyFill="1" applyBorder="1" applyAlignment="1">
      <alignment horizontal="center"/>
    </xf>
    <xf numFmtId="0" fontId="129" fillId="40" borderId="68" xfId="8697" applyFont="1" applyFill="1" applyBorder="1" applyAlignment="1" applyProtection="1">
      <alignment horizontal="center"/>
      <protection locked="0"/>
    </xf>
    <xf numFmtId="0" fontId="73" fillId="39" borderId="108" xfId="8697" applyFont="1" applyFill="1" applyBorder="1" applyAlignment="1">
      <alignment horizontal="center"/>
    </xf>
    <xf numFmtId="0" fontId="125" fillId="36" borderId="67" xfId="8697" applyFont="1" applyFill="1" applyBorder="1" applyAlignment="1">
      <alignment horizontal="center"/>
    </xf>
    <xf numFmtId="0" fontId="125" fillId="43" borderId="11" xfId="8697" applyFont="1" applyFill="1" applyBorder="1" applyAlignment="1">
      <alignment horizontal="center"/>
    </xf>
    <xf numFmtId="10" fontId="125" fillId="36" borderId="74" xfId="8697" applyNumberFormat="1" applyFont="1" applyFill="1" applyBorder="1" applyAlignment="1">
      <alignment horizontal="center"/>
    </xf>
    <xf numFmtId="0" fontId="117" fillId="37" borderId="106" xfId="530" applyFont="1" applyFill="1" applyBorder="1" applyAlignment="1" applyProtection="1">
      <alignment horizontal="center" wrapText="1"/>
      <protection hidden="1"/>
    </xf>
    <xf numFmtId="0" fontId="117" fillId="37" borderId="13" xfId="530" applyFont="1" applyFill="1" applyBorder="1" applyAlignment="1" applyProtection="1">
      <alignment horizontal="center" wrapText="1"/>
      <protection hidden="1"/>
    </xf>
    <xf numFmtId="0" fontId="124" fillId="40" borderId="66" xfId="8697" applyFont="1" applyFill="1" applyBorder="1" applyAlignment="1" applyProtection="1">
      <alignment horizontal="left"/>
      <protection locked="0"/>
    </xf>
    <xf numFmtId="0" fontId="117" fillId="36" borderId="68" xfId="661" applyNumberFormat="1" applyFont="1" applyFill="1" applyBorder="1" applyAlignment="1">
      <alignment horizontal="left"/>
    </xf>
    <xf numFmtId="44" fontId="2" fillId="40" borderId="81" xfId="661" applyFont="1" applyFill="1" applyBorder="1" applyAlignment="1" applyProtection="1">
      <alignment horizontal="center"/>
      <protection locked="0"/>
    </xf>
    <xf numFmtId="0" fontId="0" fillId="0" borderId="95" xfId="0" applyBorder="1" applyProtection="1">
      <protection locked="0"/>
    </xf>
    <xf numFmtId="0" fontId="2" fillId="40" borderId="112" xfId="8697" applyFont="1" applyFill="1" applyBorder="1" applyAlignment="1">
      <alignment horizontal="center"/>
    </xf>
    <xf numFmtId="0" fontId="0" fillId="0" borderId="103" xfId="0" applyBorder="1"/>
    <xf numFmtId="0" fontId="73" fillId="37" borderId="65" xfId="8697" applyFont="1" applyFill="1" applyBorder="1" applyAlignment="1" applyProtection="1">
      <alignment horizontal="left" vertical="center" wrapText="1"/>
      <protection locked="0"/>
    </xf>
    <xf numFmtId="43" fontId="121" fillId="42" borderId="92" xfId="659" applyFont="1" applyFill="1" applyBorder="1" applyAlignment="1" applyProtection="1">
      <alignment horizontal="left"/>
      <protection hidden="1"/>
    </xf>
    <xf numFmtId="0" fontId="124" fillId="40" borderId="90" xfId="8697" applyFont="1" applyFill="1" applyBorder="1" applyAlignment="1" applyProtection="1">
      <alignment horizontal="left"/>
      <protection locked="0"/>
    </xf>
    <xf numFmtId="0" fontId="73" fillId="37" borderId="66" xfId="8697" applyFont="1" applyFill="1" applyBorder="1" applyAlignment="1">
      <alignment horizontal="center"/>
    </xf>
    <xf numFmtId="44" fontId="2" fillId="40" borderId="11" xfId="661" applyFont="1" applyFill="1" applyBorder="1" applyAlignment="1" applyProtection="1">
      <alignment horizontal="center"/>
      <protection hidden="1"/>
    </xf>
    <xf numFmtId="0" fontId="126" fillId="40" borderId="68" xfId="8697" applyFont="1" applyFill="1" applyBorder="1" applyAlignment="1" applyProtection="1">
      <alignment horizontal="center"/>
      <protection locked="0"/>
    </xf>
    <xf numFmtId="14" fontId="126" fillId="40" borderId="68" xfId="8697" applyNumberFormat="1" applyFont="1" applyFill="1" applyBorder="1" applyAlignment="1" applyProtection="1">
      <alignment horizontal="center"/>
      <protection locked="0"/>
    </xf>
    <xf numFmtId="0" fontId="118" fillId="37" borderId="106" xfId="8697" applyFont="1" applyFill="1" applyBorder="1" applyAlignment="1">
      <alignment horizontal="center"/>
    </xf>
    <xf numFmtId="0" fontId="73" fillId="37" borderId="102" xfId="8697" applyFont="1" applyFill="1" applyBorder="1" applyAlignment="1">
      <alignment horizontal="right"/>
    </xf>
    <xf numFmtId="0" fontId="122" fillId="37" borderId="11" xfId="8697" applyFont="1" applyFill="1" applyBorder="1" applyAlignment="1">
      <alignment horizontal="right" wrapText="1"/>
    </xf>
    <xf numFmtId="168" fontId="126" fillId="36" borderId="11" xfId="8698" applyNumberFormat="1" applyFont="1" applyFill="1" applyBorder="1" applyAlignment="1">
      <alignment horizontal="left"/>
    </xf>
    <xf numFmtId="0" fontId="117" fillId="37" borderId="106" xfId="8697" applyFont="1" applyFill="1" applyBorder="1" applyAlignment="1">
      <alignment horizontal="center"/>
    </xf>
    <xf numFmtId="0" fontId="124" fillId="40" borderId="67" xfId="8697" applyFont="1" applyFill="1" applyBorder="1" applyAlignment="1" applyProtection="1">
      <alignment horizontal="right"/>
      <protection locked="0"/>
    </xf>
    <xf numFmtId="0" fontId="73" fillId="40" borderId="77" xfId="8697" applyFont="1" applyFill="1" applyBorder="1" applyAlignment="1">
      <alignment horizontal="left"/>
    </xf>
    <xf numFmtId="0" fontId="118" fillId="37" borderId="87" xfId="8697" applyFont="1" applyFill="1" applyBorder="1" applyAlignment="1">
      <alignment horizontal="center"/>
    </xf>
    <xf numFmtId="0" fontId="117" fillId="37" borderId="106" xfId="8697" applyFont="1" applyFill="1" applyBorder="1" applyAlignment="1">
      <alignment horizontal="center" vertical="center" wrapText="1"/>
    </xf>
    <xf numFmtId="0" fontId="2" fillId="40" borderId="73" xfId="8697" applyFont="1" applyFill="1" applyBorder="1" applyAlignment="1">
      <alignment horizontal="center"/>
    </xf>
    <xf numFmtId="168" fontId="126" fillId="40" borderId="68" xfId="8698" applyNumberFormat="1" applyFont="1" applyFill="1" applyBorder="1" applyAlignment="1" applyProtection="1">
      <alignment horizontal="center"/>
      <protection locked="0"/>
    </xf>
    <xf numFmtId="14" fontId="2" fillId="40" borderId="106" xfId="8697" applyNumberFormat="1" applyFont="1" applyFill="1" applyBorder="1" applyAlignment="1" applyProtection="1">
      <alignment horizontal="center"/>
      <protection locked="0"/>
    </xf>
    <xf numFmtId="0" fontId="2" fillId="43" borderId="68" xfId="8697" applyFont="1" applyFill="1" applyBorder="1" applyAlignment="1" applyProtection="1">
      <alignment horizontal="center"/>
      <protection locked="0"/>
    </xf>
    <xf numFmtId="43" fontId="121" fillId="42" borderId="70" xfId="659" applyFont="1" applyFill="1" applyBorder="1" applyAlignment="1" applyProtection="1">
      <alignment horizontal="left"/>
      <protection hidden="1"/>
    </xf>
    <xf numFmtId="0" fontId="2" fillId="40" borderId="106" xfId="8697" applyFont="1" applyFill="1" applyBorder="1" applyAlignment="1" applyProtection="1">
      <alignment horizontal="center"/>
      <protection locked="0"/>
    </xf>
    <xf numFmtId="43" fontId="118" fillId="41" borderId="70" xfId="659" applyFont="1" applyFill="1" applyBorder="1" applyAlignment="1" applyProtection="1">
      <alignment horizontal="right"/>
      <protection hidden="1"/>
    </xf>
    <xf numFmtId="0" fontId="124" fillId="40" borderId="109" xfId="8697" applyFont="1" applyFill="1" applyBorder="1" applyAlignment="1">
      <alignment horizontal="center"/>
    </xf>
    <xf numFmtId="0" fontId="129" fillId="40" borderId="11" xfId="8697" applyFont="1" applyFill="1" applyBorder="1" applyAlignment="1" applyProtection="1">
      <alignment horizontal="left"/>
      <protection locked="0"/>
    </xf>
    <xf numFmtId="9" fontId="117" fillId="36" borderId="74" xfId="8699" applyFont="1" applyFill="1" applyBorder="1" applyAlignment="1">
      <alignment horizontal="center"/>
    </xf>
    <xf numFmtId="168" fontId="125" fillId="37" borderId="68" xfId="8698" applyNumberFormat="1" applyFont="1" applyFill="1" applyBorder="1" applyAlignment="1">
      <alignment horizontal="center"/>
    </xf>
    <xf numFmtId="0" fontId="118" fillId="39" borderId="0" xfId="8697" applyFont="1" applyFill="1" applyAlignment="1">
      <alignment horizontal="right"/>
    </xf>
    <xf numFmtId="168" fontId="121" fillId="36" borderId="66" xfId="661" applyNumberFormat="1" applyFont="1" applyFill="1" applyBorder="1" applyAlignment="1">
      <alignment horizontal="left"/>
    </xf>
    <xf numFmtId="0" fontId="123" fillId="37" borderId="11" xfId="8697" applyFont="1" applyFill="1" applyBorder="1" applyAlignment="1">
      <alignment horizontal="left" wrapText="1"/>
    </xf>
    <xf numFmtId="0" fontId="117" fillId="37" borderId="13" xfId="530" applyFont="1" applyFill="1" applyBorder="1" applyAlignment="1" applyProtection="1">
      <alignment horizontal="left" wrapText="1"/>
      <protection hidden="1"/>
    </xf>
    <xf numFmtId="0" fontId="124" fillId="40" borderId="111" xfId="8697" applyFont="1" applyFill="1" applyBorder="1" applyAlignment="1" applyProtection="1">
      <alignment horizontal="left"/>
      <protection locked="0"/>
    </xf>
    <xf numFmtId="168" fontId="3" fillId="0" borderId="15" xfId="530" applyNumberFormat="1" applyFont="1" applyBorder="1" applyAlignment="1">
      <alignment horizontal="center"/>
    </xf>
    <xf numFmtId="168" fontId="3" fillId="5" borderId="10" xfId="530" applyNumberFormat="1" applyFont="1" applyFill="1" applyBorder="1" applyAlignment="1" applyProtection="1">
      <alignment horizontal="center"/>
      <protection locked="0"/>
    </xf>
    <xf numFmtId="168" fontId="3" fillId="2" borderId="11" xfId="530" applyNumberFormat="1" applyFont="1" applyFill="1" applyBorder="1" applyAlignment="1">
      <alignment horizontal="center"/>
    </xf>
    <xf numFmtId="0" fontId="9" fillId="3" borderId="17" xfId="530" applyFont="1" applyFill="1" applyBorder="1" applyAlignment="1">
      <alignment horizontal="center" vertical="center"/>
    </xf>
    <xf numFmtId="183" fontId="3" fillId="5" borderId="11" xfId="530" applyNumberFormat="1" applyFont="1" applyFill="1" applyBorder="1" applyAlignment="1" applyProtection="1">
      <alignment horizontal="right"/>
      <protection locked="0"/>
    </xf>
    <xf numFmtId="0" fontId="38" fillId="0" borderId="0" xfId="530" applyFont="1" applyAlignment="1">
      <alignment horizontal="left"/>
    </xf>
    <xf numFmtId="0" fontId="10" fillId="0" borderId="11" xfId="530" applyFont="1" applyBorder="1" applyAlignment="1">
      <alignment horizontal="center" wrapText="1"/>
    </xf>
    <xf numFmtId="168" fontId="3" fillId="0" borderId="7" xfId="530" applyNumberFormat="1" applyFont="1" applyBorder="1" applyAlignment="1">
      <alignment horizontal="center"/>
    </xf>
    <xf numFmtId="168" fontId="3" fillId="5" borderId="11" xfId="530" applyNumberFormat="1" applyFont="1" applyFill="1" applyBorder="1" applyAlignment="1" applyProtection="1">
      <alignment horizontal="center"/>
      <protection locked="0"/>
    </xf>
    <xf numFmtId="168" fontId="3" fillId="0" borderId="5" xfId="530" applyNumberFormat="1" applyFont="1" applyBorder="1" applyAlignment="1">
      <alignment horizontal="center"/>
    </xf>
    <xf numFmtId="9" fontId="3" fillId="0" borderId="5" xfId="530" applyNumberFormat="1" applyFont="1" applyBorder="1" applyAlignment="1">
      <alignment horizontal="center"/>
    </xf>
    <xf numFmtId="168" fontId="3" fillId="0" borderId="11" xfId="530" applyNumberFormat="1" applyFont="1" applyBorder="1" applyAlignment="1">
      <alignment horizontal="center"/>
    </xf>
    <xf numFmtId="5" fontId="3" fillId="0" borderId="5" xfId="530" applyNumberFormat="1" applyFont="1" applyBorder="1" applyAlignment="1">
      <alignment horizontal="center"/>
    </xf>
    <xf numFmtId="0" fontId="10" fillId="0" borderId="11" xfId="530" applyFont="1" applyBorder="1" applyAlignment="1">
      <alignment horizontal="right"/>
    </xf>
    <xf numFmtId="168" fontId="3" fillId="5" borderId="5" xfId="530" applyNumberFormat="1" applyFont="1" applyFill="1" applyBorder="1" applyAlignment="1" applyProtection="1">
      <alignment horizontal="center"/>
      <protection locked="0"/>
    </xf>
    <xf numFmtId="0" fontId="11" fillId="0" borderId="5" xfId="530" applyFont="1" applyBorder="1" applyAlignment="1">
      <alignment horizontal="left"/>
    </xf>
    <xf numFmtId="0" fontId="10" fillId="0" borderId="11" xfId="530" applyFont="1" applyBorder="1" applyAlignment="1">
      <alignment horizontal="left"/>
    </xf>
    <xf numFmtId="0" fontId="11" fillId="5" borderId="5" xfId="0" applyFont="1" applyFill="1" applyBorder="1" applyAlignment="1" applyProtection="1">
      <alignment horizontal="left"/>
      <protection locked="0"/>
    </xf>
    <xf numFmtId="184" fontId="10" fillId="0" borderId="0" xfId="530" applyNumberFormat="1" applyFont="1" applyAlignment="1">
      <alignment horizontal="center" wrapText="1"/>
    </xf>
    <xf numFmtId="169" fontId="3" fillId="0" borderId="11" xfId="530" applyNumberFormat="1" applyFont="1" applyBorder="1" applyAlignment="1" applyProtection="1">
      <alignment horizontal="center"/>
      <protection locked="0"/>
    </xf>
    <xf numFmtId="168" fontId="3" fillId="0" borderId="11" xfId="530" applyNumberFormat="1" applyFont="1" applyBorder="1" applyAlignment="1">
      <alignment horizontal="right"/>
    </xf>
    <xf numFmtId="0" fontId="10" fillId="0" borderId="16" xfId="235" applyFont="1" applyBorder="1" applyAlignment="1">
      <alignment horizontal="center"/>
    </xf>
    <xf numFmtId="168" fontId="3" fillId="0" borderId="11" xfId="530" applyNumberFormat="1" applyFont="1" applyBorder="1"/>
    <xf numFmtId="166" fontId="10" fillId="0" borderId="0" xfId="530" applyNumberFormat="1" applyFont="1" applyAlignment="1">
      <alignment horizontal="center" wrapText="1"/>
    </xf>
    <xf numFmtId="168" fontId="3" fillId="0" borderId="11" xfId="530" applyNumberFormat="1" applyFont="1" applyBorder="1" applyAlignment="1">
      <alignment wrapText="1"/>
    </xf>
    <xf numFmtId="0" fontId="10" fillId="0" borderId="6" xfId="530" applyFont="1" applyBorder="1" applyAlignment="1">
      <alignment horizontal="center"/>
    </xf>
    <xf numFmtId="9" fontId="3" fillId="0" borderId="15" xfId="530" applyNumberFormat="1" applyFont="1" applyBorder="1" applyAlignment="1">
      <alignment horizontal="center"/>
    </xf>
    <xf numFmtId="0" fontId="77" fillId="0" borderId="0" xfId="0" applyFont="1" applyAlignment="1">
      <alignment horizontal="left" vertical="top" wrapText="1"/>
    </xf>
    <xf numFmtId="5" fontId="3" fillId="0" borderId="11" xfId="530" applyNumberFormat="1" applyFont="1" applyBorder="1" applyAlignment="1">
      <alignment horizontal="center"/>
    </xf>
    <xf numFmtId="0" fontId="3" fillId="0" borderId="11" xfId="530" applyFont="1" applyBorder="1" applyAlignment="1">
      <alignment horizontal="right"/>
    </xf>
    <xf numFmtId="0" fontId="77" fillId="0" borderId="0" xfId="530" applyFont="1" applyAlignment="1">
      <alignment horizontal="left" wrapText="1"/>
    </xf>
    <xf numFmtId="168" fontId="3" fillId="5" borderId="13" xfId="530" applyNumberFormat="1" applyFont="1" applyFill="1" applyBorder="1" applyAlignment="1" applyProtection="1">
      <alignment horizontal="center"/>
      <protection locked="0"/>
    </xf>
    <xf numFmtId="9" fontId="3" fillId="0" borderId="9" xfId="530" applyNumberFormat="1" applyFont="1" applyBorder="1" applyAlignment="1">
      <alignment horizontal="center" vertical="center"/>
    </xf>
    <xf numFmtId="0" fontId="10" fillId="0" borderId="11" xfId="530" applyFont="1" applyBorder="1" applyAlignment="1">
      <alignment horizontal="center"/>
    </xf>
    <xf numFmtId="9" fontId="3" fillId="0" borderId="13" xfId="530" applyNumberFormat="1" applyFont="1" applyBorder="1" applyAlignment="1">
      <alignment horizontal="center" vertical="center"/>
    </xf>
    <xf numFmtId="0" fontId="11" fillId="0" borderId="11" xfId="530" applyFont="1" applyBorder="1" applyAlignment="1">
      <alignment horizontal="right"/>
    </xf>
    <xf numFmtId="0" fontId="3" fillId="0" borderId="120" xfId="4456" applyFont="1" applyBorder="1" applyAlignment="1">
      <alignment horizontal="left" vertical="center" wrapText="1"/>
    </xf>
    <xf numFmtId="0" fontId="0" fillId="0" borderId="121" xfId="0" applyBorder="1"/>
    <xf numFmtId="0" fontId="0" fillId="0" borderId="122" xfId="0" applyBorder="1"/>
    <xf numFmtId="10" fontId="90" fillId="0" borderId="11" xfId="4457" applyNumberFormat="1" applyFont="1" applyBorder="1" applyAlignment="1">
      <alignment horizontal="center" vertical="top" wrapText="1"/>
    </xf>
    <xf numFmtId="0" fontId="10" fillId="0" borderId="11" xfId="4456" applyFont="1" applyBorder="1" applyAlignment="1">
      <alignment horizontal="center" wrapText="1"/>
    </xf>
    <xf numFmtId="0" fontId="88" fillId="5" borderId="53" xfId="4456" applyFont="1" applyFill="1" applyBorder="1" applyAlignment="1">
      <alignment horizontal="center"/>
    </xf>
    <xf numFmtId="0" fontId="3" fillId="5" borderId="6" xfId="4456" applyFont="1" applyFill="1" applyBorder="1" applyAlignment="1" applyProtection="1">
      <alignment horizontal="center" vertical="center" wrapText="1" shrinkToFit="1"/>
      <protection locked="0"/>
    </xf>
    <xf numFmtId="0" fontId="90" fillId="5" borderId="6" xfId="4457" applyFont="1" applyFill="1" applyBorder="1" applyAlignment="1" applyProtection="1">
      <alignment horizontal="center"/>
      <protection locked="0"/>
    </xf>
    <xf numFmtId="0" fontId="11" fillId="0" borderId="49" xfId="4456" applyFont="1" applyBorder="1" applyAlignment="1">
      <alignment horizontal="left" vertical="top" wrapText="1"/>
    </xf>
    <xf numFmtId="0" fontId="0" fillId="0" borderId="49" xfId="0" applyBorder="1"/>
    <xf numFmtId="0" fontId="11" fillId="0" borderId="0" xfId="4456" applyFont="1"/>
    <xf numFmtId="0" fontId="3" fillId="0" borderId="0" xfId="4456" applyFont="1" applyAlignment="1">
      <alignment horizontal="left" vertical="top" wrapText="1"/>
    </xf>
    <xf numFmtId="0" fontId="88" fillId="0" borderId="0" xfId="4456" applyFont="1"/>
    <xf numFmtId="0" fontId="88" fillId="5" borderId="6" xfId="4456" applyFont="1" applyFill="1" applyBorder="1" applyAlignment="1" applyProtection="1">
      <alignment horizontal="center"/>
      <protection locked="0"/>
    </xf>
    <xf numFmtId="0" fontId="3" fillId="0" borderId="115" xfId="4456" applyFont="1" applyBorder="1" applyAlignment="1">
      <alignment horizontal="left" vertical="center" wrapText="1"/>
    </xf>
    <xf numFmtId="0" fontId="0" fillId="0" borderId="50" xfId="0" applyBorder="1"/>
    <xf numFmtId="0" fontId="0" fillId="0" borderId="55" xfId="0" applyBorder="1"/>
    <xf numFmtId="0" fontId="0" fillId="0" borderId="56" xfId="0" applyBorder="1"/>
    <xf numFmtId="0" fontId="0" fillId="0" borderId="57" xfId="0" applyBorder="1"/>
    <xf numFmtId="169" fontId="3" fillId="35" borderId="11" xfId="4456" applyNumberFormat="1" applyFont="1" applyFill="1" applyBorder="1" applyAlignment="1" applyProtection="1">
      <alignment horizontal="center"/>
      <protection locked="0"/>
    </xf>
    <xf numFmtId="0" fontId="11" fillId="5" borderId="0" xfId="4456" applyFont="1" applyFill="1" applyAlignment="1">
      <alignment horizontal="left" vertical="top"/>
    </xf>
    <xf numFmtId="0" fontId="0" fillId="0" borderId="51" xfId="0" applyBorder="1"/>
    <xf numFmtId="0" fontId="3" fillId="0" borderId="0" xfId="4456" applyFont="1"/>
    <xf numFmtId="0" fontId="0" fillId="0" borderId="52" xfId="0" applyBorder="1"/>
    <xf numFmtId="0" fontId="88" fillId="0" borderId="51" xfId="4456" applyFont="1" applyBorder="1" applyAlignment="1">
      <alignment horizontal="center"/>
    </xf>
    <xf numFmtId="1" fontId="3" fillId="5" borderId="2" xfId="1153" applyNumberFormat="1" applyFont="1" applyFill="1" applyBorder="1" applyAlignment="1" applyProtection="1">
      <alignment horizontal="center"/>
      <protection locked="0"/>
    </xf>
    <xf numFmtId="0" fontId="3" fillId="0" borderId="5" xfId="4456" applyFont="1" applyBorder="1" applyAlignment="1">
      <alignment horizontal="left"/>
    </xf>
    <xf numFmtId="0" fontId="3" fillId="37" borderId="11" xfId="4456" applyFont="1" applyFill="1" applyBorder="1" applyAlignment="1">
      <alignment horizontal="center"/>
    </xf>
    <xf numFmtId="0" fontId="38" fillId="5" borderId="6" xfId="4456" applyFont="1" applyFill="1" applyBorder="1" applyAlignment="1" applyProtection="1">
      <alignment horizontal="left"/>
      <protection locked="0"/>
    </xf>
    <xf numFmtId="168" fontId="3" fillId="35" borderId="6" xfId="507" applyNumberFormat="1" applyFont="1" applyFill="1" applyBorder="1" applyAlignment="1" applyProtection="1">
      <alignment horizontal="center"/>
      <protection locked="0"/>
    </xf>
    <xf numFmtId="0" fontId="90" fillId="5" borderId="58" xfId="4457" applyFont="1" applyFill="1" applyBorder="1" applyAlignment="1" applyProtection="1">
      <alignment horizontal="center"/>
      <protection locked="0"/>
    </xf>
    <xf numFmtId="0" fontId="95" fillId="0" borderId="0" xfId="4456" applyFont="1" applyAlignment="1">
      <alignment horizontal="left" vertical="top" wrapText="1"/>
    </xf>
    <xf numFmtId="0" fontId="88" fillId="5" borderId="53" xfId="4456" applyFont="1" applyFill="1" applyBorder="1" applyAlignment="1" applyProtection="1">
      <alignment horizontal="center"/>
      <protection locked="0"/>
    </xf>
    <xf numFmtId="0" fontId="10" fillId="0" borderId="11" xfId="4456" applyFont="1" applyBorder="1" applyAlignment="1">
      <alignment horizontal="center"/>
    </xf>
    <xf numFmtId="0" fontId="3" fillId="0" borderId="11" xfId="4456" applyFont="1" applyBorder="1" applyAlignment="1">
      <alignment horizontal="center"/>
    </xf>
    <xf numFmtId="9" fontId="3" fillId="5" borderId="4" xfId="1153" applyNumberFormat="1" applyFont="1" applyFill="1" applyBorder="1" applyAlignment="1" applyProtection="1">
      <alignment horizontal="left"/>
      <protection locked="0"/>
    </xf>
    <xf numFmtId="168" fontId="3" fillId="0" borderId="6" xfId="1153" applyNumberFormat="1" applyFont="1" applyBorder="1" applyAlignment="1">
      <alignment horizontal="right"/>
    </xf>
    <xf numFmtId="0" fontId="10" fillId="0" borderId="0" xfId="4456" applyFont="1" applyAlignment="1">
      <alignment horizontal="center" vertical="top"/>
    </xf>
    <xf numFmtId="168" fontId="3" fillId="0" borderId="0" xfId="1153" applyNumberFormat="1" applyFont="1" applyAlignment="1">
      <alignment horizontal="right"/>
    </xf>
    <xf numFmtId="0" fontId="3" fillId="5" borderId="6" xfId="4456" applyFont="1" applyFill="1" applyBorder="1" applyAlignment="1" applyProtection="1">
      <alignment horizontal="left"/>
      <protection locked="0"/>
    </xf>
    <xf numFmtId="10" fontId="11" fillId="0" borderId="2" xfId="4456" applyNumberFormat="1" applyFont="1" applyBorder="1" applyAlignment="1">
      <alignment horizontal="center"/>
    </xf>
    <xf numFmtId="0" fontId="3" fillId="0" borderId="116" xfId="4456" applyFont="1" applyBorder="1" applyAlignment="1">
      <alignment horizontal="left" vertical="top" wrapText="1"/>
    </xf>
    <xf numFmtId="0" fontId="10" fillId="0" borderId="5" xfId="4456" applyFont="1" applyBorder="1" applyAlignment="1">
      <alignment horizontal="left"/>
    </xf>
    <xf numFmtId="0" fontId="11" fillId="0" borderId="0" xfId="4456" applyFont="1" applyAlignment="1">
      <alignment horizontal="left" vertical="top" wrapText="1"/>
    </xf>
    <xf numFmtId="168" fontId="3" fillId="0" borderId="2" xfId="1153" applyNumberFormat="1" applyFont="1" applyBorder="1" applyAlignment="1">
      <alignment horizontal="right"/>
    </xf>
    <xf numFmtId="0" fontId="86" fillId="0" borderId="4" xfId="1153" applyFont="1" applyBorder="1" applyAlignment="1">
      <alignment horizontal="left"/>
    </xf>
    <xf numFmtId="0" fontId="10" fillId="0" borderId="0" xfId="4456" applyFont="1" applyAlignment="1">
      <alignment horizontal="right"/>
    </xf>
    <xf numFmtId="9" fontId="3" fillId="0" borderId="4" xfId="507" applyNumberFormat="1" applyFont="1" applyBorder="1" applyAlignment="1">
      <alignment horizontal="center"/>
    </xf>
    <xf numFmtId="1" fontId="3" fillId="0" borderId="11" xfId="4456" applyNumberFormat="1" applyFont="1" applyBorder="1" applyAlignment="1">
      <alignment horizontal="center"/>
    </xf>
    <xf numFmtId="0" fontId="11" fillId="5" borderId="6" xfId="4456" applyFont="1" applyFill="1" applyBorder="1" applyAlignment="1">
      <alignment horizontal="left"/>
    </xf>
    <xf numFmtId="1" fontId="10" fillId="0" borderId="11" xfId="4456" applyNumberFormat="1" applyFont="1" applyBorder="1" applyAlignment="1">
      <alignment horizontal="center"/>
    </xf>
    <xf numFmtId="44" fontId="3" fillId="0" borderId="0" xfId="668" applyFont="1" applyAlignment="1">
      <alignment horizontal="left" vertical="top" wrapText="1"/>
    </xf>
    <xf numFmtId="1" fontId="3" fillId="38" borderId="11" xfId="4456" applyNumberFormat="1" applyFont="1" applyFill="1" applyBorder="1" applyAlignment="1">
      <alignment horizontal="center"/>
    </xf>
    <xf numFmtId="0" fontId="10" fillId="0" borderId="0" xfId="4456" applyFont="1" applyAlignment="1">
      <alignment horizontal="center"/>
    </xf>
    <xf numFmtId="169" fontId="90" fillId="0" borderId="6" xfId="4457" applyNumberFormat="1" applyFont="1" applyBorder="1" applyAlignment="1">
      <alignment horizontal="center" vertical="top" wrapText="1"/>
    </xf>
    <xf numFmtId="9" fontId="3" fillId="0" borderId="6" xfId="1153" quotePrefix="1" applyNumberFormat="1" applyFont="1" applyBorder="1" applyAlignment="1">
      <alignment horizontal="center"/>
    </xf>
    <xf numFmtId="169" fontId="90" fillId="0" borderId="11" xfId="4457" applyNumberFormat="1" applyFont="1" applyBorder="1" applyAlignment="1">
      <alignment horizontal="center" vertical="top" wrapText="1"/>
    </xf>
    <xf numFmtId="9" fontId="11" fillId="5" borderId="6" xfId="4456" applyNumberFormat="1" applyFont="1" applyFill="1" applyBorder="1" applyAlignment="1">
      <alignment horizontal="left"/>
    </xf>
    <xf numFmtId="0" fontId="11" fillId="0" borderId="0" xfId="4456" applyFont="1" applyAlignment="1">
      <alignment horizontal="center"/>
    </xf>
    <xf numFmtId="168" fontId="3" fillId="5" borderId="4" xfId="1153" applyNumberFormat="1" applyFont="1" applyFill="1" applyBorder="1" applyAlignment="1" applyProtection="1">
      <alignment horizontal="center"/>
      <protection locked="0"/>
    </xf>
    <xf numFmtId="0" fontId="3" fillId="5" borderId="6" xfId="4456" applyFont="1" applyFill="1" applyBorder="1" applyAlignment="1" applyProtection="1">
      <alignment horizontal="left" wrapText="1" shrinkToFit="1"/>
      <protection locked="0"/>
    </xf>
    <xf numFmtId="168" fontId="3" fillId="35" borderId="6" xfId="4456" applyNumberFormat="1" applyFont="1" applyFill="1" applyBorder="1" applyAlignment="1" applyProtection="1">
      <alignment horizontal="right"/>
      <protection locked="0"/>
    </xf>
    <xf numFmtId="1" fontId="90" fillId="0" borderId="53" xfId="4457" applyNumberFormat="1" applyFont="1" applyBorder="1" applyAlignment="1">
      <alignment horizontal="center" vertical="top" wrapText="1"/>
    </xf>
    <xf numFmtId="0" fontId="102" fillId="0" borderId="0" xfId="1153" applyFont="1" applyAlignment="1">
      <alignment horizontal="center"/>
    </xf>
    <xf numFmtId="169" fontId="3" fillId="0" borderId="0" xfId="1153" applyNumberFormat="1" applyFont="1" applyAlignment="1">
      <alignment horizontal="right"/>
    </xf>
    <xf numFmtId="0" fontId="90" fillId="0" borderId="115" xfId="4457" applyFont="1" applyBorder="1" applyAlignment="1">
      <alignment horizontal="left" wrapText="1"/>
    </xf>
    <xf numFmtId="9" fontId="3" fillId="0" borderId="0" xfId="1153" quotePrefix="1" applyNumberFormat="1" applyFont="1" applyAlignment="1">
      <alignment horizontal="center"/>
    </xf>
    <xf numFmtId="0" fontId="88" fillId="5" borderId="48" xfId="4456" applyFont="1" applyFill="1" applyBorder="1" applyAlignment="1">
      <alignment horizontal="center"/>
    </xf>
    <xf numFmtId="169" fontId="90" fillId="0" borderId="53" xfId="4457" applyNumberFormat="1" applyFont="1" applyBorder="1" applyAlignment="1">
      <alignment horizontal="center" vertical="top" wrapText="1"/>
    </xf>
    <xf numFmtId="0" fontId="10" fillId="0" borderId="52" xfId="4456" applyFont="1" applyBorder="1" applyAlignment="1">
      <alignment horizontal="center"/>
    </xf>
    <xf numFmtId="0" fontId="38" fillId="0" borderId="49" xfId="4456" applyFont="1" applyBorder="1" applyAlignment="1">
      <alignment horizontal="left" wrapText="1"/>
    </xf>
    <xf numFmtId="0" fontId="11" fillId="5" borderId="56" xfId="4456" applyFont="1" applyFill="1" applyBorder="1" applyAlignment="1">
      <alignment horizontal="left" vertical="top" wrapText="1"/>
    </xf>
    <xf numFmtId="0" fontId="10" fillId="0" borderId="52" xfId="4456" applyFont="1" applyBorder="1" applyAlignment="1">
      <alignment horizontal="center" vertical="top"/>
    </xf>
    <xf numFmtId="0" fontId="10" fillId="0" borderId="50" xfId="4456" applyFont="1" applyBorder="1" applyAlignment="1">
      <alignment horizontal="center" vertical="top"/>
    </xf>
    <xf numFmtId="0" fontId="90" fillId="0" borderId="115" xfId="4457" applyFont="1" applyBorder="1" applyAlignment="1">
      <alignment horizontal="left" vertical="top" wrapText="1"/>
    </xf>
    <xf numFmtId="0" fontId="3" fillId="36" borderId="6" xfId="4456" applyFont="1" applyFill="1" applyBorder="1" applyAlignment="1">
      <alignment horizontal="left"/>
    </xf>
    <xf numFmtId="0" fontId="102" fillId="0" borderId="6" xfId="1153" applyFont="1" applyBorder="1" applyAlignment="1">
      <alignment horizontal="center"/>
    </xf>
    <xf numFmtId="168" fontId="111" fillId="0" borderId="12" xfId="0" applyNumberFormat="1" applyFont="1" applyBorder="1" applyAlignment="1">
      <alignment horizontal="center" vertical="top" wrapText="1"/>
    </xf>
    <xf numFmtId="168" fontId="90" fillId="35" borderId="6" xfId="4457" applyNumberFormat="1" applyFont="1" applyFill="1" applyBorder="1" applyAlignment="1" applyProtection="1">
      <alignment horizontal="center" vertical="top" wrapText="1"/>
      <protection locked="0"/>
    </xf>
    <xf numFmtId="0" fontId="88" fillId="5" borderId="60" xfId="4456" applyFont="1" applyFill="1" applyBorder="1" applyAlignment="1">
      <alignment horizontal="center"/>
    </xf>
    <xf numFmtId="0" fontId="0" fillId="0" borderId="61" xfId="0" applyBorder="1"/>
    <xf numFmtId="0" fontId="11" fillId="0" borderId="46" xfId="4456" applyFont="1" applyBorder="1" applyAlignment="1">
      <alignment horizontal="left" vertical="top" wrapText="1"/>
    </xf>
    <xf numFmtId="168" fontId="3" fillId="0" borderId="6" xfId="4457" applyNumberFormat="1" applyFont="1" applyBorder="1" applyAlignment="1">
      <alignment horizontal="center"/>
    </xf>
    <xf numFmtId="0" fontId="3" fillId="5" borderId="6" xfId="4456" applyFont="1" applyFill="1" applyBorder="1" applyAlignment="1" applyProtection="1">
      <alignment horizontal="center"/>
      <protection locked="0"/>
    </xf>
    <xf numFmtId="0" fontId="88" fillId="0" borderId="0" xfId="4456" applyFont="1" applyAlignment="1" applyProtection="1">
      <alignment horizontal="center"/>
      <protection locked="0"/>
    </xf>
    <xf numFmtId="0" fontId="3" fillId="0" borderId="119" xfId="4456" applyFont="1" applyBorder="1" applyAlignment="1">
      <alignment horizontal="left" vertical="top" wrapText="1"/>
    </xf>
    <xf numFmtId="168" fontId="90" fillId="0" borderId="53" xfId="4457" applyNumberFormat="1" applyFont="1" applyBorder="1" applyAlignment="1">
      <alignment horizontal="center" vertical="top"/>
    </xf>
    <xf numFmtId="0" fontId="10" fillId="0" borderId="0" xfId="4456" applyFont="1"/>
    <xf numFmtId="0" fontId="3" fillId="5" borderId="6" xfId="1153" applyFont="1" applyFill="1" applyBorder="1" applyAlignment="1" applyProtection="1">
      <alignment horizontal="left"/>
      <protection locked="0"/>
    </xf>
    <xf numFmtId="9" fontId="3" fillId="0" borderId="6" xfId="1153" applyNumberFormat="1" applyFont="1" applyBorder="1" applyAlignment="1">
      <alignment horizontal="center"/>
    </xf>
    <xf numFmtId="0" fontId="9" fillId="3" borderId="17" xfId="4456" applyFont="1" applyFill="1" applyBorder="1" applyAlignment="1">
      <alignment horizontal="center" vertical="center"/>
    </xf>
    <xf numFmtId="0" fontId="3" fillId="0" borderId="55" xfId="4456" applyFont="1" applyBorder="1" applyAlignment="1">
      <alignment horizontal="left" vertical="top" wrapText="1"/>
    </xf>
    <xf numFmtId="1" fontId="10" fillId="0" borderId="5" xfId="4456" applyNumberFormat="1" applyFont="1" applyBorder="1" applyAlignment="1">
      <alignment horizontal="center" wrapText="1"/>
    </xf>
    <xf numFmtId="0" fontId="3" fillId="0" borderId="115" xfId="4456" applyFont="1" applyBorder="1" applyAlignment="1">
      <alignment vertical="center" wrapText="1"/>
    </xf>
    <xf numFmtId="0" fontId="11" fillId="0" borderId="56" xfId="4456" applyFont="1" applyBorder="1" applyAlignment="1">
      <alignment horizontal="left" vertical="top" wrapText="1"/>
    </xf>
    <xf numFmtId="2" fontId="3" fillId="0" borderId="0" xfId="1153" applyNumberFormat="1" applyFont="1" applyAlignment="1">
      <alignment horizontal="right"/>
    </xf>
    <xf numFmtId="168" fontId="3" fillId="0" borderId="4" xfId="4457" applyNumberFormat="1" applyFont="1" applyBorder="1" applyAlignment="1">
      <alignment horizontal="center"/>
    </xf>
    <xf numFmtId="4" fontId="11" fillId="0" borderId="0" xfId="4456" applyNumberFormat="1" applyFont="1" applyAlignment="1">
      <alignment horizontal="center"/>
    </xf>
    <xf numFmtId="1" fontId="3" fillId="0" borderId="5" xfId="4457" applyNumberFormat="1" applyFont="1" applyBorder="1" applyAlignment="1">
      <alignment horizontal="center"/>
    </xf>
    <xf numFmtId="9" fontId="11" fillId="5" borderId="56" xfId="4456" applyNumberFormat="1" applyFont="1" applyFill="1" applyBorder="1" applyAlignment="1">
      <alignment horizontal="left"/>
    </xf>
    <xf numFmtId="0" fontId="3" fillId="5" borderId="11" xfId="4456" applyFont="1" applyFill="1" applyBorder="1" applyAlignment="1" applyProtection="1">
      <alignment horizontal="center"/>
      <protection locked="0"/>
    </xf>
    <xf numFmtId="168" fontId="86" fillId="0" borderId="6" xfId="4456" applyNumberFormat="1" applyFont="1" applyBorder="1" applyAlignment="1">
      <alignment horizontal="right"/>
    </xf>
    <xf numFmtId="168" fontId="90" fillId="0" borderId="6" xfId="4457" applyNumberFormat="1" applyFont="1" applyBorder="1" applyAlignment="1">
      <alignment horizontal="center" vertical="top"/>
    </xf>
    <xf numFmtId="0" fontId="3" fillId="0" borderId="0" xfId="4456" applyFont="1" applyAlignment="1">
      <alignment horizontal="left" vertical="center" wrapText="1" shrinkToFit="1"/>
    </xf>
    <xf numFmtId="0" fontId="19" fillId="0" borderId="0" xfId="4456" applyFont="1"/>
    <xf numFmtId="0" fontId="88" fillId="5" borderId="60" xfId="4456" applyFont="1" applyFill="1" applyBorder="1" applyAlignment="1" applyProtection="1">
      <alignment horizontal="center"/>
      <protection locked="0"/>
    </xf>
    <xf numFmtId="0" fontId="0" fillId="0" borderId="61" xfId="0" applyBorder="1" applyProtection="1">
      <protection locked="0"/>
    </xf>
    <xf numFmtId="0" fontId="3" fillId="0" borderId="0" xfId="1153" applyFont="1" applyAlignment="1">
      <alignment horizontal="right"/>
    </xf>
    <xf numFmtId="0" fontId="88" fillId="5" borderId="51" xfId="4456" applyFont="1" applyFill="1" applyBorder="1" applyAlignment="1">
      <alignment horizontal="center"/>
    </xf>
    <xf numFmtId="0" fontId="3" fillId="35" borderId="54" xfId="4456" applyFont="1" applyFill="1" applyBorder="1" applyAlignment="1" applyProtection="1">
      <alignment horizontal="left" vertical="center" wrapText="1"/>
      <protection locked="0"/>
    </xf>
    <xf numFmtId="0" fontId="0" fillId="0" borderId="52" xfId="0" applyBorder="1" applyProtection="1">
      <protection locked="0"/>
    </xf>
    <xf numFmtId="0" fontId="0" fillId="0" borderId="54" xfId="0" applyBorder="1" applyProtection="1">
      <protection locked="0"/>
    </xf>
    <xf numFmtId="169" fontId="90" fillId="0" borderId="58" xfId="4457" applyNumberFormat="1" applyFont="1" applyBorder="1" applyAlignment="1">
      <alignment horizontal="center" vertical="top" wrapText="1"/>
    </xf>
    <xf numFmtId="0" fontId="3" fillId="0" borderId="6" xfId="1153" applyFont="1" applyBorder="1" applyAlignment="1">
      <alignment horizontal="left"/>
    </xf>
    <xf numFmtId="0" fontId="19" fillId="34" borderId="6" xfId="4456" applyFont="1" applyFill="1" applyBorder="1" applyAlignment="1">
      <alignment horizontal="center"/>
    </xf>
    <xf numFmtId="0" fontId="10" fillId="0" borderId="0" xfId="4456" applyFont="1" applyAlignment="1">
      <alignment horizontal="left" wrapText="1"/>
    </xf>
    <xf numFmtId="0" fontId="95" fillId="0" borderId="0" xfId="4456" applyFont="1" applyAlignment="1">
      <alignment horizontal="left" vertical="center" wrapText="1"/>
    </xf>
    <xf numFmtId="168" fontId="3" fillId="0" borderId="6" xfId="4456" applyNumberFormat="1" applyFont="1" applyBorder="1" applyAlignment="1">
      <alignment horizontal="right"/>
    </xf>
    <xf numFmtId="0" fontId="3" fillId="0" borderId="0" xfId="4456" applyFont="1" applyAlignment="1">
      <alignment wrapText="1"/>
    </xf>
    <xf numFmtId="0" fontId="11" fillId="5" borderId="6" xfId="4456" applyFont="1" applyFill="1" applyBorder="1" applyAlignment="1" applyProtection="1">
      <alignment horizontal="left"/>
      <protection locked="0"/>
    </xf>
    <xf numFmtId="0" fontId="3" fillId="0" borderId="0" xfId="4456" applyFont="1" applyAlignment="1">
      <alignment horizontal="left" vertical="top" wrapText="1" shrinkToFit="1"/>
    </xf>
    <xf numFmtId="0" fontId="90" fillId="0" borderId="53" xfId="4457" applyFont="1" applyBorder="1" applyAlignment="1">
      <alignment horizontal="center" vertical="top" wrapText="1"/>
    </xf>
    <xf numFmtId="0" fontId="3" fillId="0" borderId="117" xfId="4456" applyFont="1" applyBorder="1" applyAlignment="1">
      <alignment horizontal="left" vertical="top" wrapText="1"/>
    </xf>
    <xf numFmtId="0" fontId="3" fillId="0" borderId="5" xfId="4457" applyFont="1" applyBorder="1" applyAlignment="1">
      <alignment horizontal="center"/>
    </xf>
    <xf numFmtId="0" fontId="3" fillId="0" borderId="6" xfId="1153" applyFont="1" applyBorder="1" applyAlignment="1">
      <alignment horizontal="right"/>
    </xf>
    <xf numFmtId="0" fontId="3" fillId="0" borderId="0" xfId="4456" applyFont="1" applyAlignment="1">
      <alignment horizontal="left"/>
    </xf>
    <xf numFmtId="0" fontId="10" fillId="0" borderId="0" xfId="4456" applyFont="1" applyAlignment="1">
      <alignment horizontal="left" vertical="top"/>
    </xf>
    <xf numFmtId="0" fontId="90" fillId="0" borderId="117" xfId="4457" applyFont="1" applyBorder="1" applyAlignment="1">
      <alignment horizontal="left" vertical="top" wrapText="1"/>
    </xf>
    <xf numFmtId="3" fontId="3" fillId="35" borderId="6" xfId="1153" applyNumberFormat="1" applyFont="1" applyFill="1" applyBorder="1" applyAlignment="1" applyProtection="1">
      <alignment horizontal="right"/>
      <protection locked="0"/>
    </xf>
    <xf numFmtId="6" fontId="3" fillId="0" borderId="11" xfId="1153" applyNumberFormat="1" applyFont="1" applyBorder="1" applyAlignment="1">
      <alignment horizontal="right"/>
    </xf>
    <xf numFmtId="0" fontId="90" fillId="5" borderId="53" xfId="4457" applyFont="1" applyFill="1" applyBorder="1" applyAlignment="1" applyProtection="1">
      <alignment horizontal="center"/>
      <protection locked="0"/>
    </xf>
    <xf numFmtId="0" fontId="3" fillId="35" borderId="6" xfId="1153" applyFont="1" applyFill="1" applyBorder="1" applyAlignment="1" applyProtection="1">
      <alignment horizontal="left" vertical="top"/>
      <protection locked="0"/>
    </xf>
    <xf numFmtId="168" fontId="3" fillId="35" borderId="6" xfId="1153" applyNumberFormat="1" applyFont="1" applyFill="1" applyBorder="1" applyAlignment="1" applyProtection="1">
      <alignment horizontal="right"/>
      <protection locked="0"/>
    </xf>
    <xf numFmtId="168" fontId="90" fillId="35" borderId="53" xfId="4457" applyNumberFormat="1" applyFont="1" applyFill="1" applyBorder="1" applyAlignment="1" applyProtection="1">
      <alignment horizontal="center" vertical="top" wrapText="1"/>
      <protection locked="0"/>
    </xf>
    <xf numFmtId="168" fontId="3" fillId="0" borderId="4" xfId="4456" applyNumberFormat="1" applyFont="1" applyBorder="1" applyAlignment="1">
      <alignment horizontal="right"/>
    </xf>
    <xf numFmtId="0" fontId="19" fillId="34" borderId="2" xfId="4456" applyFont="1" applyFill="1" applyBorder="1" applyAlignment="1">
      <alignment horizontal="center"/>
    </xf>
    <xf numFmtId="168" fontId="3" fillId="0" borderId="4" xfId="1153" applyNumberFormat="1" applyFont="1" applyBorder="1" applyAlignment="1">
      <alignment horizontal="right"/>
    </xf>
    <xf numFmtId="171" fontId="49" fillId="0" borderId="11" xfId="4456" applyNumberFormat="1" applyFont="1" applyBorder="1" applyAlignment="1">
      <alignment horizontal="center" vertical="center"/>
    </xf>
    <xf numFmtId="1" fontId="3" fillId="5" borderId="4" xfId="1153" applyNumberFormat="1" applyFont="1" applyFill="1" applyBorder="1" applyAlignment="1" applyProtection="1">
      <alignment horizontal="center"/>
      <protection locked="0"/>
    </xf>
    <xf numFmtId="0" fontId="3" fillId="35" borderId="118" xfId="4456" applyFont="1" applyFill="1" applyBorder="1" applyAlignment="1" applyProtection="1">
      <alignment vertical="top" wrapText="1"/>
      <protection locked="0"/>
    </xf>
    <xf numFmtId="0" fontId="0" fillId="0" borderId="51" xfId="0" applyBorder="1" applyProtection="1">
      <protection locked="0"/>
    </xf>
    <xf numFmtId="0" fontId="0" fillId="0" borderId="53" xfId="0" applyBorder="1" applyProtection="1">
      <protection locked="0"/>
    </xf>
    <xf numFmtId="166" fontId="49" fillId="0" borderId="11" xfId="4456" applyNumberFormat="1" applyFont="1" applyBorder="1" applyAlignment="1">
      <alignment horizontal="right" vertical="center"/>
    </xf>
    <xf numFmtId="0" fontId="10" fillId="0" borderId="0" xfId="4456" applyFont="1" applyAlignment="1">
      <alignment horizontal="left" vertical="top" wrapText="1"/>
    </xf>
    <xf numFmtId="0" fontId="112" fillId="0" borderId="0" xfId="0" applyFont="1" applyAlignment="1" applyProtection="1">
      <alignment horizontal="left"/>
      <protection locked="0"/>
    </xf>
    <xf numFmtId="0" fontId="11" fillId="5" borderId="56" xfId="4456" applyFont="1" applyFill="1" applyBorder="1" applyAlignment="1">
      <alignment horizontal="left"/>
    </xf>
    <xf numFmtId="0" fontId="88" fillId="0" borderId="0" xfId="4456" applyFont="1" applyAlignment="1">
      <alignment horizontal="center"/>
    </xf>
    <xf numFmtId="0" fontId="3" fillId="0" borderId="115" xfId="4457" applyFont="1" applyBorder="1" applyAlignment="1">
      <alignment horizontal="left" wrapText="1"/>
    </xf>
    <xf numFmtId="4" fontId="11" fillId="0" borderId="11" xfId="4456" applyNumberFormat="1" applyFont="1" applyBorder="1" applyAlignment="1">
      <alignment horizontal="center"/>
    </xf>
    <xf numFmtId="4" fontId="11" fillId="0" borderId="6" xfId="4456" applyNumberFormat="1" applyFont="1" applyBorder="1" applyAlignment="1">
      <alignment horizontal="center"/>
    </xf>
    <xf numFmtId="0" fontId="3" fillId="0" borderId="117" xfId="4456" applyFont="1" applyBorder="1" applyAlignment="1">
      <alignment horizontal="left" vertical="center" wrapText="1"/>
    </xf>
    <xf numFmtId="166" fontId="3" fillId="0" borderId="115" xfId="4456" applyNumberFormat="1" applyFont="1" applyBorder="1" applyAlignment="1">
      <alignment horizontal="left" vertical="top" wrapText="1"/>
    </xf>
    <xf numFmtId="0" fontId="10" fillId="0" borderId="47" xfId="4456" applyFont="1" applyBorder="1" applyAlignment="1">
      <alignment horizontal="left" vertical="top"/>
    </xf>
    <xf numFmtId="0" fontId="0" fillId="0" borderId="46" xfId="0" applyBorder="1"/>
    <xf numFmtId="0" fontId="0" fillId="0" borderId="47" xfId="0" applyBorder="1"/>
    <xf numFmtId="169" fontId="3" fillId="0" borderId="6" xfId="1153" applyNumberFormat="1" applyFont="1" applyBorder="1" applyAlignment="1">
      <alignment horizontal="right"/>
    </xf>
    <xf numFmtId="49" fontId="9" fillId="3" borderId="2" xfId="4456" applyNumberFormat="1" applyFont="1" applyFill="1" applyBorder="1" applyAlignment="1">
      <alignment horizontal="center" vertical="center" wrapText="1"/>
    </xf>
    <xf numFmtId="0" fontId="38" fillId="0" borderId="49" xfId="4456" applyFont="1" applyBorder="1" applyAlignment="1">
      <alignment horizontal="left" vertical="top" wrapText="1"/>
    </xf>
    <xf numFmtId="9" fontId="3" fillId="0" borderId="4" xfId="4457" applyNumberFormat="1" applyFont="1" applyBorder="1" applyAlignment="1">
      <alignment horizontal="center"/>
    </xf>
    <xf numFmtId="0" fontId="8" fillId="0" borderId="0" xfId="0" applyFont="1" applyAlignment="1" applyProtection="1">
      <alignment wrapText="1"/>
      <protection locked="0"/>
    </xf>
    <xf numFmtId="0" fontId="8" fillId="0" borderId="6" xfId="235" applyFont="1" applyBorder="1" applyAlignment="1">
      <alignment horizontal="center"/>
    </xf>
    <xf numFmtId="3" fontId="3" fillId="0" borderId="0" xfId="0" applyNumberFormat="1" applyFont="1" applyAlignment="1">
      <alignment horizontal="left" vertical="top" wrapText="1"/>
    </xf>
    <xf numFmtId="3" fontId="12" fillId="0" borderId="0" xfId="0" applyNumberFormat="1" applyFont="1" applyAlignment="1">
      <alignment vertical="top"/>
    </xf>
    <xf numFmtId="0" fontId="3" fillId="35" borderId="0" xfId="0" applyFont="1" applyFill="1" applyAlignment="1">
      <alignment horizontal="left"/>
    </xf>
    <xf numFmtId="168" fontId="3" fillId="0" borderId="0" xfId="0" applyNumberFormat="1" applyFont="1"/>
  </cellXfs>
  <cellStyles count="18287">
    <cellStyle name="20% - Accent1" xfId="9589" builtinId="30" customBuiltin="1"/>
    <cellStyle name="20% - Accent1 10" xfId="4465" xr:uid="{00000000-0005-0000-0000-000098110000}"/>
    <cellStyle name="20% - Accent1 10 2" xfId="14056" xr:uid="{09F259E5-7B5B-4873-91A5-7C70A2E5E770}"/>
    <cellStyle name="20% - Accent1 11" xfId="8719" xr:uid="{00000000-0005-0000-0000-000036220000}"/>
    <cellStyle name="20% - Accent1 2" xfId="1" xr:uid="{00000000-0005-0000-0000-000002000000}"/>
    <cellStyle name="20% - Accent1 2 10" xfId="8758" xr:uid="{00000000-0005-0000-0000-00005D220000}"/>
    <cellStyle name="20% - Accent1 2 11" xfId="9607" xr:uid="{DEB29C27-AA2F-4042-8212-527E878E3735}"/>
    <cellStyle name="20% - Accent1 2 2" xfId="2" xr:uid="{00000000-0005-0000-0000-000003000000}"/>
    <cellStyle name="20% - Accent1 2 2 10" xfId="9608" xr:uid="{4A6B3645-8E5F-4F60-9E4F-462AF18762B9}"/>
    <cellStyle name="20% - Accent1 2 2 2" xfId="3" xr:uid="{00000000-0005-0000-0000-000004000000}"/>
    <cellStyle name="20% - Accent1 2 2 2 2" xfId="534" xr:uid="{00000000-0005-0000-0000-00003D020000}"/>
    <cellStyle name="20% - Accent1 2 2 2 2 2" xfId="2805" xr:uid="{00000000-0005-0000-0000-00001C0B0000}"/>
    <cellStyle name="20% - Accent1 2 2 2 2 2 2" xfId="7027" xr:uid="{00000000-0005-0000-0000-00009A1B0000}"/>
    <cellStyle name="20% - Accent1 2 2 2 2 2 2 2" xfId="16618" xr:uid="{84CF7E99-6D0B-4306-940F-D637956E47AD}"/>
    <cellStyle name="20% - Accent1 2 2 2 2 2 3" xfId="12397" xr:uid="{7E4483E0-CD3A-4EB4-B946-B16261001775}"/>
    <cellStyle name="20% - Accent1 2 2 2 2 3" xfId="4882" xr:uid="{00000000-0005-0000-0000-000039130000}"/>
    <cellStyle name="20% - Accent1 2 2 2 2 3 2" xfId="14473" xr:uid="{10162938-E2F6-466E-A723-1421D4C73C2D}"/>
    <cellStyle name="20% - Accent1 2 2 2 2 4" xfId="9493" xr:uid="{00000000-0005-0000-0000-00003C250000}"/>
    <cellStyle name="20% - Accent1 2 2 2 2 5" xfId="10127" xr:uid="{02714E74-DA36-40DA-B2BB-F9EFCF6F53B7}"/>
    <cellStyle name="20% - Accent1 2 2 2 3" xfId="987" xr:uid="{00000000-0005-0000-0000-000002040000}"/>
    <cellStyle name="20% - Accent1 2 2 2 3 2" xfId="3218" xr:uid="{00000000-0005-0000-0000-0000B90C0000}"/>
    <cellStyle name="20% - Accent1 2 2 2 3 2 2" xfId="7440" xr:uid="{00000000-0005-0000-0000-0000371D0000}"/>
    <cellStyle name="20% - Accent1 2 2 2 3 2 2 2" xfId="17031" xr:uid="{A34B5FA4-BA06-46FE-904C-2849635ADA9E}"/>
    <cellStyle name="20% - Accent1 2 2 2 3 2 3" xfId="12810" xr:uid="{7BB28E5C-BD18-4EBF-9F02-97246B43C628}"/>
    <cellStyle name="20% - Accent1 2 2 2 3 3" xfId="5295" xr:uid="{00000000-0005-0000-0000-0000D6140000}"/>
    <cellStyle name="20% - Accent1 2 2 2 3 3 2" xfId="14886" xr:uid="{166F6DF2-4A37-4AF0-ACB0-C6F0A1D1457E}"/>
    <cellStyle name="20% - Accent1 2 2 2 3 4" xfId="10580" xr:uid="{BEBC0AFD-62CA-4A51-A65C-06AAC79B2D57}"/>
    <cellStyle name="20% - Accent1 2 2 2 4" xfId="1401" xr:uid="{00000000-0005-0000-0000-0000A0050000}"/>
    <cellStyle name="20% - Accent1 2 2 2 4 2" xfId="3631" xr:uid="{00000000-0005-0000-0000-0000560E0000}"/>
    <cellStyle name="20% - Accent1 2 2 2 4 2 2" xfId="7853" xr:uid="{00000000-0005-0000-0000-0000D41E0000}"/>
    <cellStyle name="20% - Accent1 2 2 2 4 2 2 2" xfId="17444" xr:uid="{FA90F2D7-AF91-4280-AE2E-CD3D02FF75C3}"/>
    <cellStyle name="20% - Accent1 2 2 2 4 2 3" xfId="13223" xr:uid="{03EA2C90-98AB-4E78-88B0-BF42DCF79DAF}"/>
    <cellStyle name="20% - Accent1 2 2 2 4 3" xfId="5708" xr:uid="{00000000-0005-0000-0000-000073160000}"/>
    <cellStyle name="20% - Accent1 2 2 2 4 3 2" xfId="15299" xr:uid="{253040FC-7DFA-4D51-A127-626649985BC1}"/>
    <cellStyle name="20% - Accent1 2 2 2 4 4" xfId="10994" xr:uid="{0F4E51DF-6406-40F8-B5AF-F2B3D696340C}"/>
    <cellStyle name="20% - Accent1 2 2 2 5" xfId="1815" xr:uid="{00000000-0005-0000-0000-00003E070000}"/>
    <cellStyle name="20% - Accent1 2 2 2 5 2" xfId="4044" xr:uid="{00000000-0005-0000-0000-0000F30F0000}"/>
    <cellStyle name="20% - Accent1 2 2 2 5 2 2" xfId="8266" xr:uid="{00000000-0005-0000-0000-000071200000}"/>
    <cellStyle name="20% - Accent1 2 2 2 5 2 2 2" xfId="17857" xr:uid="{F4E0A0E0-9F1F-4889-AFC1-5FBB70719458}"/>
    <cellStyle name="20% - Accent1 2 2 2 5 2 3" xfId="13636" xr:uid="{E0C48FBA-E85E-443F-AEF9-DF20DB48369D}"/>
    <cellStyle name="20% - Accent1 2 2 2 5 3" xfId="6121" xr:uid="{00000000-0005-0000-0000-000010180000}"/>
    <cellStyle name="20% - Accent1 2 2 2 5 3 2" xfId="15712" xr:uid="{20E183C9-418C-4F28-B24E-690F34337BEE}"/>
    <cellStyle name="20% - Accent1 2 2 2 5 4" xfId="11407" xr:uid="{D14F2325-F710-4B87-8138-8394AA473DC1}"/>
    <cellStyle name="20% - Accent1 2 2 2 6" xfId="2228" xr:uid="{00000000-0005-0000-0000-0000DB080000}"/>
    <cellStyle name="20% - Accent1 2 2 2 6 2" xfId="6534" xr:uid="{00000000-0005-0000-0000-0000AD190000}"/>
    <cellStyle name="20% - Accent1 2 2 2 6 2 2" xfId="16125" xr:uid="{58EE53E2-4FCD-4B86-81EF-55C1DC5B6A3F}"/>
    <cellStyle name="20% - Accent1 2 2 2 6 3" xfId="11820" xr:uid="{5A886CB7-D6CA-4D88-B6C0-FB64692EBEFF}"/>
    <cellStyle name="20% - Accent1 2 2 2 7" xfId="4468" xr:uid="{00000000-0005-0000-0000-00009B110000}"/>
    <cellStyle name="20% - Accent1 2 2 2 7 2" xfId="14059" xr:uid="{B5109B65-BE03-4681-9B74-81BAE9AE1D7C}"/>
    <cellStyle name="20% - Accent1 2 2 2 8" xfId="9068" xr:uid="{00000000-0005-0000-0000-000093230000}"/>
    <cellStyle name="20% - Accent1 2 2 2 9" xfId="9609" xr:uid="{E307B5CD-DA91-4830-B7DD-8A4B8A20737A}"/>
    <cellStyle name="20% - Accent1 2 2 3" xfId="533" xr:uid="{00000000-0005-0000-0000-00003C020000}"/>
    <cellStyle name="20% - Accent1 2 2 3 2" xfId="2804" xr:uid="{00000000-0005-0000-0000-00001B0B0000}"/>
    <cellStyle name="20% - Accent1 2 2 3 2 2" xfId="7026" xr:uid="{00000000-0005-0000-0000-0000991B0000}"/>
    <cellStyle name="20% - Accent1 2 2 3 2 2 2" xfId="16617" xr:uid="{3B10988E-27C9-4D10-A14D-01EB58A93264}"/>
    <cellStyle name="20% - Accent1 2 2 3 2 3" xfId="12396" xr:uid="{22249FF6-D31D-4DC8-BC77-5878CA492580}"/>
    <cellStyle name="20% - Accent1 2 2 3 3" xfId="4881" xr:uid="{00000000-0005-0000-0000-000038130000}"/>
    <cellStyle name="20% - Accent1 2 2 3 3 2" xfId="14472" xr:uid="{81B16009-61CB-475C-B973-FD6CA2B0952C}"/>
    <cellStyle name="20% - Accent1 2 2 3 4" xfId="9286" xr:uid="{00000000-0005-0000-0000-00006D240000}"/>
    <cellStyle name="20% - Accent1 2 2 3 5" xfId="10126" xr:uid="{A3AD0CED-0FF3-482E-911C-7546202248D6}"/>
    <cellStyle name="20% - Accent1 2 2 4" xfId="986" xr:uid="{00000000-0005-0000-0000-000001040000}"/>
    <cellStyle name="20% - Accent1 2 2 4 2" xfId="3217" xr:uid="{00000000-0005-0000-0000-0000B80C0000}"/>
    <cellStyle name="20% - Accent1 2 2 4 2 2" xfId="7439" xr:uid="{00000000-0005-0000-0000-0000361D0000}"/>
    <cellStyle name="20% - Accent1 2 2 4 2 2 2" xfId="17030" xr:uid="{D3CE9F54-945F-4D7B-AA3F-EEB46B133883}"/>
    <cellStyle name="20% - Accent1 2 2 4 2 3" xfId="12809" xr:uid="{FC9A67F0-994E-481C-BD00-EE0EF9ABFB50}"/>
    <cellStyle name="20% - Accent1 2 2 4 3" xfId="5294" xr:uid="{00000000-0005-0000-0000-0000D5140000}"/>
    <cellStyle name="20% - Accent1 2 2 4 3 2" xfId="14885" xr:uid="{8DE9F5A3-787D-4520-A73C-D52B3464C874}"/>
    <cellStyle name="20% - Accent1 2 2 4 4" xfId="10579" xr:uid="{B833A02B-A4DD-4BD2-AA13-A2A5ED6E4CD7}"/>
    <cellStyle name="20% - Accent1 2 2 5" xfId="1400" xr:uid="{00000000-0005-0000-0000-00009F050000}"/>
    <cellStyle name="20% - Accent1 2 2 5 2" xfId="3630" xr:uid="{00000000-0005-0000-0000-0000550E0000}"/>
    <cellStyle name="20% - Accent1 2 2 5 2 2" xfId="7852" xr:uid="{00000000-0005-0000-0000-0000D31E0000}"/>
    <cellStyle name="20% - Accent1 2 2 5 2 2 2" xfId="17443" xr:uid="{9C138AE0-9F05-4888-A104-D37C6EE33EE7}"/>
    <cellStyle name="20% - Accent1 2 2 5 2 3" xfId="13222" xr:uid="{FBBA170F-A8D6-4DF9-A2AF-C03AECA966AC}"/>
    <cellStyle name="20% - Accent1 2 2 5 3" xfId="5707" xr:uid="{00000000-0005-0000-0000-000072160000}"/>
    <cellStyle name="20% - Accent1 2 2 5 3 2" xfId="15298" xr:uid="{FE8D2C8C-5D65-4E4F-B89B-498FE1BB85F8}"/>
    <cellStyle name="20% - Accent1 2 2 5 4" xfId="10993" xr:uid="{451E25F3-2421-46F9-A1CA-BA7082EF45F4}"/>
    <cellStyle name="20% - Accent1 2 2 6" xfId="1814" xr:uid="{00000000-0005-0000-0000-00003D070000}"/>
    <cellStyle name="20% - Accent1 2 2 6 2" xfId="4043" xr:uid="{00000000-0005-0000-0000-0000F20F0000}"/>
    <cellStyle name="20% - Accent1 2 2 6 2 2" xfId="8265" xr:uid="{00000000-0005-0000-0000-000070200000}"/>
    <cellStyle name="20% - Accent1 2 2 6 2 2 2" xfId="17856" xr:uid="{CA1277D9-7357-4502-9292-90298F6C292A}"/>
    <cellStyle name="20% - Accent1 2 2 6 2 3" xfId="13635" xr:uid="{9E223EE5-F25D-46A4-80CD-FF5D6E7C6A23}"/>
    <cellStyle name="20% - Accent1 2 2 6 3" xfId="6120" xr:uid="{00000000-0005-0000-0000-00000F180000}"/>
    <cellStyle name="20% - Accent1 2 2 6 3 2" xfId="15711" xr:uid="{41DC0DD4-6A08-48C5-8422-3351E85A6233}"/>
    <cellStyle name="20% - Accent1 2 2 6 4" xfId="11406" xr:uid="{12073676-26A8-4498-A71A-41A1423CAF90}"/>
    <cellStyle name="20% - Accent1 2 2 7" xfId="2227" xr:uid="{00000000-0005-0000-0000-0000DA080000}"/>
    <cellStyle name="20% - Accent1 2 2 7 2" xfId="6533" xr:uid="{00000000-0005-0000-0000-0000AC190000}"/>
    <cellStyle name="20% - Accent1 2 2 7 2 2" xfId="16124" xr:uid="{B8426900-826C-4C83-BDDE-27BD72015950}"/>
    <cellStyle name="20% - Accent1 2 2 7 3" xfId="11819" xr:uid="{B2729434-3D97-4B32-85C4-0F7DF061383D}"/>
    <cellStyle name="20% - Accent1 2 2 8" xfId="4467" xr:uid="{00000000-0005-0000-0000-00009A110000}"/>
    <cellStyle name="20% - Accent1 2 2 8 2" xfId="14058" xr:uid="{5111B8D1-0833-40BD-81C7-C7D76CFA93C8}"/>
    <cellStyle name="20% - Accent1 2 2 9" xfId="8861" xr:uid="{00000000-0005-0000-0000-0000C4220000}"/>
    <cellStyle name="20% - Accent1 2 3" xfId="4" xr:uid="{00000000-0005-0000-0000-000005000000}"/>
    <cellStyle name="20% - Accent1 2 3 2" xfId="535" xr:uid="{00000000-0005-0000-0000-00003E020000}"/>
    <cellStyle name="20% - Accent1 2 3 2 2" xfId="2806" xr:uid="{00000000-0005-0000-0000-00001D0B0000}"/>
    <cellStyle name="20% - Accent1 2 3 2 2 2" xfId="7028" xr:uid="{00000000-0005-0000-0000-00009B1B0000}"/>
    <cellStyle name="20% - Accent1 2 3 2 2 2 2" xfId="16619" xr:uid="{DD6ECB84-BE5F-4C9C-9AE5-1E12A2237EAF}"/>
    <cellStyle name="20% - Accent1 2 3 2 2 3" xfId="12398" xr:uid="{8DEA5BB6-78EB-4D2D-B121-6226FFD340A3}"/>
    <cellStyle name="20% - Accent1 2 3 2 3" xfId="4883" xr:uid="{00000000-0005-0000-0000-00003A130000}"/>
    <cellStyle name="20% - Accent1 2 3 2 3 2" xfId="14474" xr:uid="{CFEAA259-F813-4772-8F2E-366CF1C20204}"/>
    <cellStyle name="20% - Accent1 2 3 2 4" xfId="9390" xr:uid="{00000000-0005-0000-0000-0000D5240000}"/>
    <cellStyle name="20% - Accent1 2 3 2 5" xfId="10128" xr:uid="{77356867-5F5F-403C-8339-A05D8A640CB5}"/>
    <cellStyle name="20% - Accent1 2 3 3" xfId="988" xr:uid="{00000000-0005-0000-0000-000003040000}"/>
    <cellStyle name="20% - Accent1 2 3 3 2" xfId="3219" xr:uid="{00000000-0005-0000-0000-0000BA0C0000}"/>
    <cellStyle name="20% - Accent1 2 3 3 2 2" xfId="7441" xr:uid="{00000000-0005-0000-0000-0000381D0000}"/>
    <cellStyle name="20% - Accent1 2 3 3 2 2 2" xfId="17032" xr:uid="{75E81A02-7FAD-45AF-B659-0BC9DD8C7B00}"/>
    <cellStyle name="20% - Accent1 2 3 3 2 3" xfId="12811" xr:uid="{1BA11277-C9F6-4009-B9BA-99FC6BBFFFDC}"/>
    <cellStyle name="20% - Accent1 2 3 3 3" xfId="5296" xr:uid="{00000000-0005-0000-0000-0000D7140000}"/>
    <cellStyle name="20% - Accent1 2 3 3 3 2" xfId="14887" xr:uid="{1BBA712A-58E0-4A79-8829-37CE2747F79F}"/>
    <cellStyle name="20% - Accent1 2 3 3 4" xfId="10581" xr:uid="{7951799E-D484-4384-AC0E-A2B37AB3DD74}"/>
    <cellStyle name="20% - Accent1 2 3 4" xfId="1402" xr:uid="{00000000-0005-0000-0000-0000A1050000}"/>
    <cellStyle name="20% - Accent1 2 3 4 2" xfId="3632" xr:uid="{00000000-0005-0000-0000-0000570E0000}"/>
    <cellStyle name="20% - Accent1 2 3 4 2 2" xfId="7854" xr:uid="{00000000-0005-0000-0000-0000D51E0000}"/>
    <cellStyle name="20% - Accent1 2 3 4 2 2 2" xfId="17445" xr:uid="{62BAA4CD-1F04-4036-81C6-6620FEA44297}"/>
    <cellStyle name="20% - Accent1 2 3 4 2 3" xfId="13224" xr:uid="{5CFF2D13-A33A-42EC-A0CB-FD01B27180F6}"/>
    <cellStyle name="20% - Accent1 2 3 4 3" xfId="5709" xr:uid="{00000000-0005-0000-0000-000074160000}"/>
    <cellStyle name="20% - Accent1 2 3 4 3 2" xfId="15300" xr:uid="{65A396F8-95E4-471B-8D1B-5C43EF237075}"/>
    <cellStyle name="20% - Accent1 2 3 4 4" xfId="10995" xr:uid="{6F4B7FE1-DDF0-4ECD-88C5-0E489E343D0E}"/>
    <cellStyle name="20% - Accent1 2 3 5" xfId="1816" xr:uid="{00000000-0005-0000-0000-00003F070000}"/>
    <cellStyle name="20% - Accent1 2 3 5 2" xfId="4045" xr:uid="{00000000-0005-0000-0000-0000F40F0000}"/>
    <cellStyle name="20% - Accent1 2 3 5 2 2" xfId="8267" xr:uid="{00000000-0005-0000-0000-000072200000}"/>
    <cellStyle name="20% - Accent1 2 3 5 2 2 2" xfId="17858" xr:uid="{D36D36F8-18D3-40FB-B0A2-CDBAEEA939F4}"/>
    <cellStyle name="20% - Accent1 2 3 5 2 3" xfId="13637" xr:uid="{870BCC67-57F7-4502-B426-B0726570F260}"/>
    <cellStyle name="20% - Accent1 2 3 5 3" xfId="6122" xr:uid="{00000000-0005-0000-0000-000011180000}"/>
    <cellStyle name="20% - Accent1 2 3 5 3 2" xfId="15713" xr:uid="{10BC82A7-2284-4FC2-962D-A0270FCA60BD}"/>
    <cellStyle name="20% - Accent1 2 3 5 4" xfId="11408" xr:uid="{340BCF0E-0AEF-4735-9805-ED1111B79E8D}"/>
    <cellStyle name="20% - Accent1 2 3 6" xfId="2229" xr:uid="{00000000-0005-0000-0000-0000DC080000}"/>
    <cellStyle name="20% - Accent1 2 3 6 2" xfId="6535" xr:uid="{00000000-0005-0000-0000-0000AE190000}"/>
    <cellStyle name="20% - Accent1 2 3 6 2 2" xfId="16126" xr:uid="{A2F17F2E-52A2-44A1-8249-F08937C93A0D}"/>
    <cellStyle name="20% - Accent1 2 3 6 3" xfId="11821" xr:uid="{802F45BA-EDE5-4202-8AC1-FBFE81E0C746}"/>
    <cellStyle name="20% - Accent1 2 3 7" xfId="4469" xr:uid="{00000000-0005-0000-0000-00009C110000}"/>
    <cellStyle name="20% - Accent1 2 3 7 2" xfId="14060" xr:uid="{777A6B25-F4EA-4F14-B2AB-A020807FCF2C}"/>
    <cellStyle name="20% - Accent1 2 3 8" xfId="8965" xr:uid="{00000000-0005-0000-0000-00002C230000}"/>
    <cellStyle name="20% - Accent1 2 3 9" xfId="9610" xr:uid="{66E6A2AB-9FB7-4E14-BF34-1CC790C1CF9A}"/>
    <cellStyle name="20% - Accent1 2 4" xfId="532" xr:uid="{00000000-0005-0000-0000-00003B020000}"/>
    <cellStyle name="20% - Accent1 2 4 2" xfId="2803" xr:uid="{00000000-0005-0000-0000-00001A0B0000}"/>
    <cellStyle name="20% - Accent1 2 4 2 2" xfId="7025" xr:uid="{00000000-0005-0000-0000-0000981B0000}"/>
    <cellStyle name="20% - Accent1 2 4 2 2 2" xfId="16616" xr:uid="{F395021F-41D5-48C5-89C8-7A736FEA02FE}"/>
    <cellStyle name="20% - Accent1 2 4 2 3" xfId="12395" xr:uid="{078E0924-5B1D-4EBD-A7FD-65B0F727BE0B}"/>
    <cellStyle name="20% - Accent1 2 4 3" xfId="4880" xr:uid="{00000000-0005-0000-0000-000037130000}"/>
    <cellStyle name="20% - Accent1 2 4 3 2" xfId="14471" xr:uid="{A0BFED57-AA07-46A9-B740-3AE0C9F96FCF}"/>
    <cellStyle name="20% - Accent1 2 4 4" xfId="9182" xr:uid="{00000000-0005-0000-0000-000005240000}"/>
    <cellStyle name="20% - Accent1 2 4 5" xfId="10125" xr:uid="{411A3D0D-276F-4932-9146-7041D77A7FA3}"/>
    <cellStyle name="20% - Accent1 2 5" xfId="985" xr:uid="{00000000-0005-0000-0000-000000040000}"/>
    <cellStyle name="20% - Accent1 2 5 2" xfId="3216" xr:uid="{00000000-0005-0000-0000-0000B70C0000}"/>
    <cellStyle name="20% - Accent1 2 5 2 2" xfId="7438" xr:uid="{00000000-0005-0000-0000-0000351D0000}"/>
    <cellStyle name="20% - Accent1 2 5 2 2 2" xfId="17029" xr:uid="{78C183E8-010A-4741-A6CD-B82942890952}"/>
    <cellStyle name="20% - Accent1 2 5 2 3" xfId="12808" xr:uid="{BACEA742-B86C-46F5-A8F4-F5BD9C44EF73}"/>
    <cellStyle name="20% - Accent1 2 5 3" xfId="5293" xr:uid="{00000000-0005-0000-0000-0000D4140000}"/>
    <cellStyle name="20% - Accent1 2 5 3 2" xfId="14884" xr:uid="{5AE363C3-B467-49B8-A202-90516AD0C7A6}"/>
    <cellStyle name="20% - Accent1 2 5 4" xfId="10578" xr:uid="{11EA47CA-0489-494E-9612-EE6B897B786C}"/>
    <cellStyle name="20% - Accent1 2 6" xfId="1399" xr:uid="{00000000-0005-0000-0000-00009E050000}"/>
    <cellStyle name="20% - Accent1 2 6 2" xfId="3629" xr:uid="{00000000-0005-0000-0000-0000540E0000}"/>
    <cellStyle name="20% - Accent1 2 6 2 2" xfId="7851" xr:uid="{00000000-0005-0000-0000-0000D21E0000}"/>
    <cellStyle name="20% - Accent1 2 6 2 2 2" xfId="17442" xr:uid="{AAF9D38F-A93F-4DB4-89B4-29B74763314B}"/>
    <cellStyle name="20% - Accent1 2 6 2 3" xfId="13221" xr:uid="{34A69AF9-0835-40BF-8677-A1594D127F0E}"/>
    <cellStyle name="20% - Accent1 2 6 3" xfId="5706" xr:uid="{00000000-0005-0000-0000-000071160000}"/>
    <cellStyle name="20% - Accent1 2 6 3 2" xfId="15297" xr:uid="{3C16A686-6671-45AC-87E8-67EE736988D8}"/>
    <cellStyle name="20% - Accent1 2 6 4" xfId="10992" xr:uid="{4F9E0559-4FF2-4F94-9717-53451DDEA26A}"/>
    <cellStyle name="20% - Accent1 2 7" xfId="1813" xr:uid="{00000000-0005-0000-0000-00003C070000}"/>
    <cellStyle name="20% - Accent1 2 7 2" xfId="4042" xr:uid="{00000000-0005-0000-0000-0000F10F0000}"/>
    <cellStyle name="20% - Accent1 2 7 2 2" xfId="8264" xr:uid="{00000000-0005-0000-0000-00006F200000}"/>
    <cellStyle name="20% - Accent1 2 7 2 2 2" xfId="17855" xr:uid="{599180EB-637F-429A-BAF9-8EA04EFB4E94}"/>
    <cellStyle name="20% - Accent1 2 7 2 3" xfId="13634" xr:uid="{226C5F43-5433-42BA-9F0C-7814BD93B956}"/>
    <cellStyle name="20% - Accent1 2 7 3" xfId="6119" xr:uid="{00000000-0005-0000-0000-00000E180000}"/>
    <cellStyle name="20% - Accent1 2 7 3 2" xfId="15710" xr:uid="{E9E78EB7-0D02-4CE1-B748-C0B8843BD244}"/>
    <cellStyle name="20% - Accent1 2 7 4" xfId="11405" xr:uid="{CE2086FE-8B08-475B-8AD8-37CAB03C49D5}"/>
    <cellStyle name="20% - Accent1 2 8" xfId="2226" xr:uid="{00000000-0005-0000-0000-0000D9080000}"/>
    <cellStyle name="20% - Accent1 2 8 2" xfId="6532" xr:uid="{00000000-0005-0000-0000-0000AB190000}"/>
    <cellStyle name="20% - Accent1 2 8 2 2" xfId="16123" xr:uid="{55129C7D-678C-4466-933C-8B0771139BE9}"/>
    <cellStyle name="20% - Accent1 2 8 3" xfId="11818" xr:uid="{A1124E90-2C02-424B-8E83-52575AE61797}"/>
    <cellStyle name="20% - Accent1 2 9" xfId="4466" xr:uid="{00000000-0005-0000-0000-000099110000}"/>
    <cellStyle name="20% - Accent1 2 9 2" xfId="14057" xr:uid="{C5C470C7-1AED-41A3-9B52-571737347AB3}"/>
    <cellStyle name="20% - Accent1 3" xfId="5" xr:uid="{00000000-0005-0000-0000-000006000000}"/>
    <cellStyle name="20% - Accent1 3 10" xfId="9611" xr:uid="{4F10D73E-0673-43B9-A3CE-1FC0D0E8398B}"/>
    <cellStyle name="20% - Accent1 3 2" xfId="6" xr:uid="{00000000-0005-0000-0000-000007000000}"/>
    <cellStyle name="20% - Accent1 3 2 2" xfId="537" xr:uid="{00000000-0005-0000-0000-000040020000}"/>
    <cellStyle name="20% - Accent1 3 2 2 2" xfId="2808" xr:uid="{00000000-0005-0000-0000-00001F0B0000}"/>
    <cellStyle name="20% - Accent1 3 2 2 2 2" xfId="7030" xr:uid="{00000000-0005-0000-0000-00009D1B0000}"/>
    <cellStyle name="20% - Accent1 3 2 2 2 2 2" xfId="16621" xr:uid="{68AEF9C8-36C2-4C39-B980-F30EF4E719A3}"/>
    <cellStyle name="20% - Accent1 3 2 2 2 3" xfId="12400" xr:uid="{4B2695E6-124E-4B6C-A652-9B19DFA61603}"/>
    <cellStyle name="20% - Accent1 3 2 2 3" xfId="4885" xr:uid="{00000000-0005-0000-0000-00003C130000}"/>
    <cellStyle name="20% - Accent1 3 2 2 3 2" xfId="14476" xr:uid="{2800EF19-CB8F-45B7-814D-8FEDA19C8439}"/>
    <cellStyle name="20% - Accent1 3 2 2 4" xfId="9454" xr:uid="{00000000-0005-0000-0000-000015250000}"/>
    <cellStyle name="20% - Accent1 3 2 2 5" xfId="10130" xr:uid="{D5327710-7A07-497F-B264-FCC9DA589579}"/>
    <cellStyle name="20% - Accent1 3 2 3" xfId="990" xr:uid="{00000000-0005-0000-0000-000005040000}"/>
    <cellStyle name="20% - Accent1 3 2 3 2" xfId="3221" xr:uid="{00000000-0005-0000-0000-0000BC0C0000}"/>
    <cellStyle name="20% - Accent1 3 2 3 2 2" xfId="7443" xr:uid="{00000000-0005-0000-0000-00003A1D0000}"/>
    <cellStyle name="20% - Accent1 3 2 3 2 2 2" xfId="17034" xr:uid="{206238B8-3B13-4DDF-9A8D-DE693CB0E4E3}"/>
    <cellStyle name="20% - Accent1 3 2 3 2 3" xfId="12813" xr:uid="{A1723812-417E-4F40-B24A-1F6506A61884}"/>
    <cellStyle name="20% - Accent1 3 2 3 3" xfId="5298" xr:uid="{00000000-0005-0000-0000-0000D9140000}"/>
    <cellStyle name="20% - Accent1 3 2 3 3 2" xfId="14889" xr:uid="{96475F44-4477-4E68-AB59-53F603DD2B1F}"/>
    <cellStyle name="20% - Accent1 3 2 3 4" xfId="10583" xr:uid="{326840DC-B1D8-47B5-AF0D-8ADA74689886}"/>
    <cellStyle name="20% - Accent1 3 2 4" xfId="1404" xr:uid="{00000000-0005-0000-0000-0000A3050000}"/>
    <cellStyle name="20% - Accent1 3 2 4 2" xfId="3634" xr:uid="{00000000-0005-0000-0000-0000590E0000}"/>
    <cellStyle name="20% - Accent1 3 2 4 2 2" xfId="7856" xr:uid="{00000000-0005-0000-0000-0000D71E0000}"/>
    <cellStyle name="20% - Accent1 3 2 4 2 2 2" xfId="17447" xr:uid="{0B3B638D-B8C2-4B7D-8D0F-89A3E7017046}"/>
    <cellStyle name="20% - Accent1 3 2 4 2 3" xfId="13226" xr:uid="{08F81032-FEFB-48D2-A867-5DA6E302FD2C}"/>
    <cellStyle name="20% - Accent1 3 2 4 3" xfId="5711" xr:uid="{00000000-0005-0000-0000-000076160000}"/>
    <cellStyle name="20% - Accent1 3 2 4 3 2" xfId="15302" xr:uid="{ABD28F94-0FA0-4E61-AF22-05A15FE0B76E}"/>
    <cellStyle name="20% - Accent1 3 2 4 4" xfId="10997" xr:uid="{71783F2D-54AF-465F-B03C-6895BF48E765}"/>
    <cellStyle name="20% - Accent1 3 2 5" xfId="1818" xr:uid="{00000000-0005-0000-0000-000041070000}"/>
    <cellStyle name="20% - Accent1 3 2 5 2" xfId="4047" xr:uid="{00000000-0005-0000-0000-0000F60F0000}"/>
    <cellStyle name="20% - Accent1 3 2 5 2 2" xfId="8269" xr:uid="{00000000-0005-0000-0000-000074200000}"/>
    <cellStyle name="20% - Accent1 3 2 5 2 2 2" xfId="17860" xr:uid="{0F457AB2-4BFF-465B-BEA3-61D1462396E8}"/>
    <cellStyle name="20% - Accent1 3 2 5 2 3" xfId="13639" xr:uid="{6027F367-AAE9-4CCA-B5F1-929B5A3F657D}"/>
    <cellStyle name="20% - Accent1 3 2 5 3" xfId="6124" xr:uid="{00000000-0005-0000-0000-000013180000}"/>
    <cellStyle name="20% - Accent1 3 2 5 3 2" xfId="15715" xr:uid="{CF828F6D-31F5-4B7D-809F-FA85D8E1201B}"/>
    <cellStyle name="20% - Accent1 3 2 5 4" xfId="11410" xr:uid="{8DCDAE48-E280-49CB-9D8A-546D6F4B4BEA}"/>
    <cellStyle name="20% - Accent1 3 2 6" xfId="2231" xr:uid="{00000000-0005-0000-0000-0000DE080000}"/>
    <cellStyle name="20% - Accent1 3 2 6 2" xfId="6537" xr:uid="{00000000-0005-0000-0000-0000B0190000}"/>
    <cellStyle name="20% - Accent1 3 2 6 2 2" xfId="16128" xr:uid="{8320588C-3493-4648-9286-8E91BDFAA7E9}"/>
    <cellStyle name="20% - Accent1 3 2 6 3" xfId="11823" xr:uid="{72F06002-6BCE-4090-A9AF-4C3A25FD7B83}"/>
    <cellStyle name="20% - Accent1 3 2 7" xfId="4471" xr:uid="{00000000-0005-0000-0000-00009E110000}"/>
    <cellStyle name="20% - Accent1 3 2 7 2" xfId="14062" xr:uid="{938514CC-1E0A-478F-9022-120AD5FA7E39}"/>
    <cellStyle name="20% - Accent1 3 2 8" xfId="9029" xr:uid="{00000000-0005-0000-0000-00006C230000}"/>
    <cellStyle name="20% - Accent1 3 2 9" xfId="9612" xr:uid="{82B9D4A9-F704-4410-928B-D25F11499765}"/>
    <cellStyle name="20% - Accent1 3 3" xfId="536" xr:uid="{00000000-0005-0000-0000-00003F020000}"/>
    <cellStyle name="20% - Accent1 3 3 2" xfId="2807" xr:uid="{00000000-0005-0000-0000-00001E0B0000}"/>
    <cellStyle name="20% - Accent1 3 3 2 2" xfId="7029" xr:uid="{00000000-0005-0000-0000-00009C1B0000}"/>
    <cellStyle name="20% - Accent1 3 3 2 2 2" xfId="16620" xr:uid="{712E4468-8E91-44B8-8B14-8F8FC15608D6}"/>
    <cellStyle name="20% - Accent1 3 3 2 3" xfId="12399" xr:uid="{9ACEFB36-FED0-4661-8B23-B3E810AC6333}"/>
    <cellStyle name="20% - Accent1 3 3 3" xfId="4884" xr:uid="{00000000-0005-0000-0000-00003B130000}"/>
    <cellStyle name="20% - Accent1 3 3 3 2" xfId="14475" xr:uid="{2ADB25EF-D009-48EE-94EF-8E3238B62264}"/>
    <cellStyle name="20% - Accent1 3 3 4" xfId="9247" xr:uid="{00000000-0005-0000-0000-000046240000}"/>
    <cellStyle name="20% - Accent1 3 3 5" xfId="10129" xr:uid="{08CB1BB6-94E5-49FA-A2D0-B76F0E00AD20}"/>
    <cellStyle name="20% - Accent1 3 4" xfId="989" xr:uid="{00000000-0005-0000-0000-000004040000}"/>
    <cellStyle name="20% - Accent1 3 4 2" xfId="3220" xr:uid="{00000000-0005-0000-0000-0000BB0C0000}"/>
    <cellStyle name="20% - Accent1 3 4 2 2" xfId="7442" xr:uid="{00000000-0005-0000-0000-0000391D0000}"/>
    <cellStyle name="20% - Accent1 3 4 2 2 2" xfId="17033" xr:uid="{FEDA5742-947E-4DA4-B8CD-E2ED036CC676}"/>
    <cellStyle name="20% - Accent1 3 4 2 3" xfId="12812" xr:uid="{8E8D5B06-7658-468F-A932-B9C3925E48C9}"/>
    <cellStyle name="20% - Accent1 3 4 3" xfId="5297" xr:uid="{00000000-0005-0000-0000-0000D8140000}"/>
    <cellStyle name="20% - Accent1 3 4 3 2" xfId="14888" xr:uid="{D5E8EDF7-9B77-4830-A352-B4E439C5A97E}"/>
    <cellStyle name="20% - Accent1 3 4 4" xfId="10582" xr:uid="{D26527B1-036C-4502-BD83-761BA6F9CAC5}"/>
    <cellStyle name="20% - Accent1 3 5" xfId="1403" xr:uid="{00000000-0005-0000-0000-0000A2050000}"/>
    <cellStyle name="20% - Accent1 3 5 2" xfId="3633" xr:uid="{00000000-0005-0000-0000-0000580E0000}"/>
    <cellStyle name="20% - Accent1 3 5 2 2" xfId="7855" xr:uid="{00000000-0005-0000-0000-0000D61E0000}"/>
    <cellStyle name="20% - Accent1 3 5 2 2 2" xfId="17446" xr:uid="{269A20E2-AC2A-4177-9D96-3E79F19B4C2F}"/>
    <cellStyle name="20% - Accent1 3 5 2 3" xfId="13225" xr:uid="{ED2CE983-F0A6-4D4E-A998-4B4BE7752CCB}"/>
    <cellStyle name="20% - Accent1 3 5 3" xfId="5710" xr:uid="{00000000-0005-0000-0000-000075160000}"/>
    <cellStyle name="20% - Accent1 3 5 3 2" xfId="15301" xr:uid="{3195C180-FC36-402D-BB6D-BAE96D641CE2}"/>
    <cellStyle name="20% - Accent1 3 5 4" xfId="10996" xr:uid="{D79605D9-E1F8-40B7-A9EA-46BE031A3C13}"/>
    <cellStyle name="20% - Accent1 3 6" xfId="1817" xr:uid="{00000000-0005-0000-0000-000040070000}"/>
    <cellStyle name="20% - Accent1 3 6 2" xfId="4046" xr:uid="{00000000-0005-0000-0000-0000F50F0000}"/>
    <cellStyle name="20% - Accent1 3 6 2 2" xfId="8268" xr:uid="{00000000-0005-0000-0000-000073200000}"/>
    <cellStyle name="20% - Accent1 3 6 2 2 2" xfId="17859" xr:uid="{DBB4B395-87B7-4B50-9384-8E3797320D8E}"/>
    <cellStyle name="20% - Accent1 3 6 2 3" xfId="13638" xr:uid="{69B76247-36FD-4F69-9158-08BA76CD05E2}"/>
    <cellStyle name="20% - Accent1 3 6 3" xfId="6123" xr:uid="{00000000-0005-0000-0000-000012180000}"/>
    <cellStyle name="20% - Accent1 3 6 3 2" xfId="15714" xr:uid="{4969BA17-0C78-4A8D-801B-75CBDF662D4B}"/>
    <cellStyle name="20% - Accent1 3 6 4" xfId="11409" xr:uid="{02EDDF89-CEE8-4CD7-B3B9-CAD533EC34E9}"/>
    <cellStyle name="20% - Accent1 3 7" xfId="2230" xr:uid="{00000000-0005-0000-0000-0000DD080000}"/>
    <cellStyle name="20% - Accent1 3 7 2" xfId="6536" xr:uid="{00000000-0005-0000-0000-0000AF190000}"/>
    <cellStyle name="20% - Accent1 3 7 2 2" xfId="16127" xr:uid="{7F09E549-0427-4F48-8B66-92FFA9C6838D}"/>
    <cellStyle name="20% - Accent1 3 7 3" xfId="11822" xr:uid="{00267EC7-1612-4114-92C7-BDAD8FE28E49}"/>
    <cellStyle name="20% - Accent1 3 8" xfId="4470" xr:uid="{00000000-0005-0000-0000-00009D110000}"/>
    <cellStyle name="20% - Accent1 3 8 2" xfId="14061" xr:uid="{0B1A9C47-61E9-4E2C-8E45-F5C83B8E5191}"/>
    <cellStyle name="20% - Accent1 3 9" xfId="8822" xr:uid="{00000000-0005-0000-0000-00009D220000}"/>
    <cellStyle name="20% - Accent1 4" xfId="7" xr:uid="{00000000-0005-0000-0000-000008000000}"/>
    <cellStyle name="20% - Accent1 4 2" xfId="538" xr:uid="{00000000-0005-0000-0000-000041020000}"/>
    <cellStyle name="20% - Accent1 4 2 2" xfId="2809" xr:uid="{00000000-0005-0000-0000-0000200B0000}"/>
    <cellStyle name="20% - Accent1 4 2 2 2" xfId="7031" xr:uid="{00000000-0005-0000-0000-00009E1B0000}"/>
    <cellStyle name="20% - Accent1 4 2 2 2 2" xfId="16622" xr:uid="{7DD848B0-60B7-44D2-9DF7-792AEBE40D75}"/>
    <cellStyle name="20% - Accent1 4 2 2 3" xfId="12401" xr:uid="{AC15C78E-52EA-413F-8F56-3FD6759D3DBB}"/>
    <cellStyle name="20% - Accent1 4 2 3" xfId="4886" xr:uid="{00000000-0005-0000-0000-00003D130000}"/>
    <cellStyle name="20% - Accent1 4 2 3 2" xfId="14477" xr:uid="{1DFE5A16-0085-493B-BD9D-398EE73D3A90}"/>
    <cellStyle name="20% - Accent1 4 2 4" xfId="9333" xr:uid="{00000000-0005-0000-0000-00009C240000}"/>
    <cellStyle name="20% - Accent1 4 2 5" xfId="10131" xr:uid="{222E91FC-85C4-4230-89B0-97E64FDF9D78}"/>
    <cellStyle name="20% - Accent1 4 3" xfId="991" xr:uid="{00000000-0005-0000-0000-000006040000}"/>
    <cellStyle name="20% - Accent1 4 3 2" xfId="3222" xr:uid="{00000000-0005-0000-0000-0000BD0C0000}"/>
    <cellStyle name="20% - Accent1 4 3 2 2" xfId="7444" xr:uid="{00000000-0005-0000-0000-00003B1D0000}"/>
    <cellStyle name="20% - Accent1 4 3 2 2 2" xfId="17035" xr:uid="{10AEF038-4269-4CF1-B8C0-1D026D9F7719}"/>
    <cellStyle name="20% - Accent1 4 3 2 3" xfId="12814" xr:uid="{76CA84BC-6EAB-4751-890E-739B7B34DE45}"/>
    <cellStyle name="20% - Accent1 4 3 3" xfId="5299" xr:uid="{00000000-0005-0000-0000-0000DA140000}"/>
    <cellStyle name="20% - Accent1 4 3 3 2" xfId="14890" xr:uid="{0C71E1C3-23CA-43FF-93AF-AC47D19778E9}"/>
    <cellStyle name="20% - Accent1 4 3 4" xfId="10584" xr:uid="{CC74A09F-943D-4D23-AF9E-99433E7B1D88}"/>
    <cellStyle name="20% - Accent1 4 4" xfId="1405" xr:uid="{00000000-0005-0000-0000-0000A4050000}"/>
    <cellStyle name="20% - Accent1 4 4 2" xfId="3635" xr:uid="{00000000-0005-0000-0000-00005A0E0000}"/>
    <cellStyle name="20% - Accent1 4 4 2 2" xfId="7857" xr:uid="{00000000-0005-0000-0000-0000D81E0000}"/>
    <cellStyle name="20% - Accent1 4 4 2 2 2" xfId="17448" xr:uid="{D71E7092-5AB5-4C28-B9B6-B87747A03DC1}"/>
    <cellStyle name="20% - Accent1 4 4 2 3" xfId="13227" xr:uid="{12CED227-D8D1-4F3F-BE43-470BAF133580}"/>
    <cellStyle name="20% - Accent1 4 4 3" xfId="5712" xr:uid="{00000000-0005-0000-0000-000077160000}"/>
    <cellStyle name="20% - Accent1 4 4 3 2" xfId="15303" xr:uid="{2F183729-B7B0-4B9A-91E1-76A75A3050D6}"/>
    <cellStyle name="20% - Accent1 4 4 4" xfId="10998" xr:uid="{89814663-4B0C-4F21-9BC5-8E9CB7966F04}"/>
    <cellStyle name="20% - Accent1 4 5" xfId="1819" xr:uid="{00000000-0005-0000-0000-000042070000}"/>
    <cellStyle name="20% - Accent1 4 5 2" xfId="4048" xr:uid="{00000000-0005-0000-0000-0000F70F0000}"/>
    <cellStyle name="20% - Accent1 4 5 2 2" xfId="8270" xr:uid="{00000000-0005-0000-0000-000075200000}"/>
    <cellStyle name="20% - Accent1 4 5 2 2 2" xfId="17861" xr:uid="{E747270E-1C2C-419B-8DD2-CD190AB421DA}"/>
    <cellStyle name="20% - Accent1 4 5 2 3" xfId="13640" xr:uid="{AE092563-CFE1-46A9-9CC4-AA617C3439DE}"/>
    <cellStyle name="20% - Accent1 4 5 3" xfId="6125" xr:uid="{00000000-0005-0000-0000-000014180000}"/>
    <cellStyle name="20% - Accent1 4 5 3 2" xfId="15716" xr:uid="{D0886D7D-4C0A-40A4-82D2-61857C566B6E}"/>
    <cellStyle name="20% - Accent1 4 5 4" xfId="11411" xr:uid="{09C6DF8F-4593-4D4C-95C7-94608B648ABD}"/>
    <cellStyle name="20% - Accent1 4 6" xfId="2232" xr:uid="{00000000-0005-0000-0000-0000DF080000}"/>
    <cellStyle name="20% - Accent1 4 6 2" xfId="6538" xr:uid="{00000000-0005-0000-0000-0000B1190000}"/>
    <cellStyle name="20% - Accent1 4 6 2 2" xfId="16129" xr:uid="{D4272035-4165-4F0C-AD0C-79F8FFBAAC81}"/>
    <cellStyle name="20% - Accent1 4 6 3" xfId="11824" xr:uid="{3E14B5F8-C0CB-43C5-A6CB-FC25A76284EF}"/>
    <cellStyle name="20% - Accent1 4 7" xfId="4472" xr:uid="{00000000-0005-0000-0000-00009F110000}"/>
    <cellStyle name="20% - Accent1 4 7 2" xfId="14063" xr:uid="{30029444-F124-404B-8A75-341E70583570}"/>
    <cellStyle name="20% - Accent1 4 8" xfId="8908" xr:uid="{00000000-0005-0000-0000-0000F3220000}"/>
    <cellStyle name="20% - Accent1 4 9" xfId="9613" xr:uid="{B328F1E6-CE36-4D10-B89E-7B8961CF0451}"/>
    <cellStyle name="20% - Accent1 5" xfId="531" xr:uid="{00000000-0005-0000-0000-00003A020000}"/>
    <cellStyle name="20% - Accent1 5 2" xfId="2802" xr:uid="{00000000-0005-0000-0000-0000190B0000}"/>
    <cellStyle name="20% - Accent1 5 2 2" xfId="7024" xr:uid="{00000000-0005-0000-0000-0000971B0000}"/>
    <cellStyle name="20% - Accent1 5 2 2 2" xfId="16615" xr:uid="{79DC0522-526F-4F4D-8C80-290DA726E997}"/>
    <cellStyle name="20% - Accent1 5 2 3" xfId="12394" xr:uid="{7201186C-B373-4F1D-9F2C-0477A2F05EA0}"/>
    <cellStyle name="20% - Accent1 5 3" xfId="4879" xr:uid="{00000000-0005-0000-0000-000036130000}"/>
    <cellStyle name="20% - Accent1 5 3 2" xfId="14470" xr:uid="{9D91D9DC-9E83-42F3-B614-FC8DBCE396C8}"/>
    <cellStyle name="20% - Accent1 5 4" xfId="9141" xr:uid="{00000000-0005-0000-0000-0000DC230000}"/>
    <cellStyle name="20% - Accent1 5 5" xfId="10124" xr:uid="{3B648AEF-CF3D-44D5-840E-EEE9B7A025BB}"/>
    <cellStyle name="20% - Accent1 6" xfId="984" xr:uid="{00000000-0005-0000-0000-0000FF030000}"/>
    <cellStyle name="20% - Accent1 6 2" xfId="3215" xr:uid="{00000000-0005-0000-0000-0000B60C0000}"/>
    <cellStyle name="20% - Accent1 6 2 2" xfId="7437" xr:uid="{00000000-0005-0000-0000-0000341D0000}"/>
    <cellStyle name="20% - Accent1 6 2 2 2" xfId="17028" xr:uid="{8CB40E9F-B1F6-4C6C-B412-EE411CDDDDDB}"/>
    <cellStyle name="20% - Accent1 6 2 3" xfId="12807" xr:uid="{BFB379D6-292C-40A5-835B-2DF039BD70F5}"/>
    <cellStyle name="20% - Accent1 6 3" xfId="5292" xr:uid="{00000000-0005-0000-0000-0000D3140000}"/>
    <cellStyle name="20% - Accent1 6 3 2" xfId="14883" xr:uid="{F22E6103-A782-4D9C-A699-FE6125FEB82D}"/>
    <cellStyle name="20% - Accent1 6 4" xfId="10577" xr:uid="{EF741381-EA8B-426E-B702-02FCC4B39EE7}"/>
    <cellStyle name="20% - Accent1 7" xfId="1398" xr:uid="{00000000-0005-0000-0000-00009D050000}"/>
    <cellStyle name="20% - Accent1 7 2" xfId="3628" xr:uid="{00000000-0005-0000-0000-0000530E0000}"/>
    <cellStyle name="20% - Accent1 7 2 2" xfId="7850" xr:uid="{00000000-0005-0000-0000-0000D11E0000}"/>
    <cellStyle name="20% - Accent1 7 2 2 2" xfId="17441" xr:uid="{F6F4B51E-0485-4138-8A67-E22EE0E6D163}"/>
    <cellStyle name="20% - Accent1 7 2 3" xfId="13220" xr:uid="{26DF0A2B-5323-49A4-8676-E136F320B8C1}"/>
    <cellStyle name="20% - Accent1 7 3" xfId="5705" xr:uid="{00000000-0005-0000-0000-000070160000}"/>
    <cellStyle name="20% - Accent1 7 3 2" xfId="15296" xr:uid="{74F60BD0-D4AA-45F2-B4D3-025A23DF5CBF}"/>
    <cellStyle name="20% - Accent1 7 4" xfId="10991" xr:uid="{B62C7AA6-AC34-4DE6-BE38-645DA916F0A8}"/>
    <cellStyle name="20% - Accent1 8" xfId="1812" xr:uid="{00000000-0005-0000-0000-00003B070000}"/>
    <cellStyle name="20% - Accent1 8 2" xfId="4041" xr:uid="{00000000-0005-0000-0000-0000F00F0000}"/>
    <cellStyle name="20% - Accent1 8 2 2" xfId="8263" xr:uid="{00000000-0005-0000-0000-00006E200000}"/>
    <cellStyle name="20% - Accent1 8 2 2 2" xfId="17854" xr:uid="{AF7FA0BF-0BF1-4ADB-9128-61DAF77508CF}"/>
    <cellStyle name="20% - Accent1 8 2 3" xfId="13633" xr:uid="{3E9EC09E-3F83-4B58-A1AA-7A1ED6DC2046}"/>
    <cellStyle name="20% - Accent1 8 3" xfId="6118" xr:uid="{00000000-0005-0000-0000-00000D180000}"/>
    <cellStyle name="20% - Accent1 8 3 2" xfId="15709" xr:uid="{2DFC2688-FFF8-4605-AE2B-2273B6EFA37D}"/>
    <cellStyle name="20% - Accent1 8 4" xfId="11404" xr:uid="{8970117F-C82D-401E-8477-0AF3B3DEC312}"/>
    <cellStyle name="20% - Accent1 9" xfId="2225" xr:uid="{00000000-0005-0000-0000-0000D8080000}"/>
    <cellStyle name="20% - Accent1 9 2" xfId="6531" xr:uid="{00000000-0005-0000-0000-0000AA190000}"/>
    <cellStyle name="20% - Accent1 9 2 2" xfId="16122" xr:uid="{C662E03F-65EE-4FA8-9DB4-B37A7DFE4D30}"/>
    <cellStyle name="20% - Accent1 9 3" xfId="11817" xr:uid="{65A2EC39-A0A8-4ADE-99E2-33FBC37D964A}"/>
    <cellStyle name="20% - Accent2" xfId="9592" builtinId="34" customBuiltin="1"/>
    <cellStyle name="20% - Accent2 10" xfId="4473" xr:uid="{00000000-0005-0000-0000-0000A0110000}"/>
    <cellStyle name="20% - Accent2 10 2" xfId="14064" xr:uid="{EB79213A-A3FC-4282-9467-1F5E3EDC95E1}"/>
    <cellStyle name="20% - Accent2 11" xfId="8721" xr:uid="{00000000-0005-0000-0000-000038220000}"/>
    <cellStyle name="20% - Accent2 2" xfId="8" xr:uid="{00000000-0005-0000-0000-00000A000000}"/>
    <cellStyle name="20% - Accent2 2 10" xfId="8754" xr:uid="{00000000-0005-0000-0000-000059220000}"/>
    <cellStyle name="20% - Accent2 2 11" xfId="9614" xr:uid="{D499BB3E-B9B0-4A96-9D02-3FD710D72799}"/>
    <cellStyle name="20% - Accent2 2 2" xfId="9" xr:uid="{00000000-0005-0000-0000-00000B000000}"/>
    <cellStyle name="20% - Accent2 2 2 10" xfId="9615" xr:uid="{ADD539F6-1139-4E43-8A02-990AD3DAF513}"/>
    <cellStyle name="20% - Accent2 2 2 2" xfId="10" xr:uid="{00000000-0005-0000-0000-00000C000000}"/>
    <cellStyle name="20% - Accent2 2 2 2 2" xfId="542" xr:uid="{00000000-0005-0000-0000-000045020000}"/>
    <cellStyle name="20% - Accent2 2 2 2 2 2" xfId="2813" xr:uid="{00000000-0005-0000-0000-0000240B0000}"/>
    <cellStyle name="20% - Accent2 2 2 2 2 2 2" xfId="7035" xr:uid="{00000000-0005-0000-0000-0000A21B0000}"/>
    <cellStyle name="20% - Accent2 2 2 2 2 2 2 2" xfId="16626" xr:uid="{BD51784A-1E63-4222-9761-D9711A36BDE7}"/>
    <cellStyle name="20% - Accent2 2 2 2 2 2 3" xfId="12405" xr:uid="{E33558E2-4F13-47B3-A15D-D747666D3C34}"/>
    <cellStyle name="20% - Accent2 2 2 2 2 3" xfId="4890" xr:uid="{00000000-0005-0000-0000-000041130000}"/>
    <cellStyle name="20% - Accent2 2 2 2 2 3 2" xfId="14481" xr:uid="{407FA783-AE77-49E7-A0F3-4D1BE1E3D5D0}"/>
    <cellStyle name="20% - Accent2 2 2 2 2 4" xfId="9489" xr:uid="{00000000-0005-0000-0000-000038250000}"/>
    <cellStyle name="20% - Accent2 2 2 2 2 5" xfId="10135" xr:uid="{1845AA2A-6AE8-4C5D-A6FD-25DECFD728A7}"/>
    <cellStyle name="20% - Accent2 2 2 2 3" xfId="995" xr:uid="{00000000-0005-0000-0000-00000A040000}"/>
    <cellStyle name="20% - Accent2 2 2 2 3 2" xfId="3226" xr:uid="{00000000-0005-0000-0000-0000C10C0000}"/>
    <cellStyle name="20% - Accent2 2 2 2 3 2 2" xfId="7448" xr:uid="{00000000-0005-0000-0000-00003F1D0000}"/>
    <cellStyle name="20% - Accent2 2 2 2 3 2 2 2" xfId="17039" xr:uid="{525A0E99-788D-4CC8-8AAB-2DEDA0033EE7}"/>
    <cellStyle name="20% - Accent2 2 2 2 3 2 3" xfId="12818" xr:uid="{A00B172D-7AC7-4C0C-937F-1A5EC6B3EB84}"/>
    <cellStyle name="20% - Accent2 2 2 2 3 3" xfId="5303" xr:uid="{00000000-0005-0000-0000-0000DE140000}"/>
    <cellStyle name="20% - Accent2 2 2 2 3 3 2" xfId="14894" xr:uid="{5495C221-4E4C-417F-AEF4-C48F944EFDB0}"/>
    <cellStyle name="20% - Accent2 2 2 2 3 4" xfId="10588" xr:uid="{3F70E10C-F32B-4B79-8E14-CA7195AE9937}"/>
    <cellStyle name="20% - Accent2 2 2 2 4" xfId="1409" xr:uid="{00000000-0005-0000-0000-0000A8050000}"/>
    <cellStyle name="20% - Accent2 2 2 2 4 2" xfId="3639" xr:uid="{00000000-0005-0000-0000-00005E0E0000}"/>
    <cellStyle name="20% - Accent2 2 2 2 4 2 2" xfId="7861" xr:uid="{00000000-0005-0000-0000-0000DC1E0000}"/>
    <cellStyle name="20% - Accent2 2 2 2 4 2 2 2" xfId="17452" xr:uid="{5BB24F78-C8BF-40B9-A9FC-37FF79405543}"/>
    <cellStyle name="20% - Accent2 2 2 2 4 2 3" xfId="13231" xr:uid="{43D84AC3-25AF-4366-AB4A-22383578EC70}"/>
    <cellStyle name="20% - Accent2 2 2 2 4 3" xfId="5716" xr:uid="{00000000-0005-0000-0000-00007B160000}"/>
    <cellStyle name="20% - Accent2 2 2 2 4 3 2" xfId="15307" xr:uid="{8FD45CA3-1F28-40CF-863F-8043770B821B}"/>
    <cellStyle name="20% - Accent2 2 2 2 4 4" xfId="11002" xr:uid="{46E5C63B-401E-420A-BFF8-537541A57B28}"/>
    <cellStyle name="20% - Accent2 2 2 2 5" xfId="1823" xr:uid="{00000000-0005-0000-0000-000046070000}"/>
    <cellStyle name="20% - Accent2 2 2 2 5 2" xfId="4052" xr:uid="{00000000-0005-0000-0000-0000FB0F0000}"/>
    <cellStyle name="20% - Accent2 2 2 2 5 2 2" xfId="8274" xr:uid="{00000000-0005-0000-0000-000079200000}"/>
    <cellStyle name="20% - Accent2 2 2 2 5 2 2 2" xfId="17865" xr:uid="{DA6DC175-48E1-41AE-8E1E-E63BE013FB9E}"/>
    <cellStyle name="20% - Accent2 2 2 2 5 2 3" xfId="13644" xr:uid="{66D07D58-5651-4DCF-BD38-44B6573986EF}"/>
    <cellStyle name="20% - Accent2 2 2 2 5 3" xfId="6129" xr:uid="{00000000-0005-0000-0000-000018180000}"/>
    <cellStyle name="20% - Accent2 2 2 2 5 3 2" xfId="15720" xr:uid="{62B26364-7E7E-4CC8-9122-37E4C0781FC8}"/>
    <cellStyle name="20% - Accent2 2 2 2 5 4" xfId="11415" xr:uid="{4EA1ADB3-D231-4808-817F-45FF942E375C}"/>
    <cellStyle name="20% - Accent2 2 2 2 6" xfId="2236" xr:uid="{00000000-0005-0000-0000-0000E3080000}"/>
    <cellStyle name="20% - Accent2 2 2 2 6 2" xfId="6542" xr:uid="{00000000-0005-0000-0000-0000B5190000}"/>
    <cellStyle name="20% - Accent2 2 2 2 6 2 2" xfId="16133" xr:uid="{9D7AC542-39FE-4665-9EF1-41B280DFE7E2}"/>
    <cellStyle name="20% - Accent2 2 2 2 6 3" xfId="11828" xr:uid="{D4A562C7-F2CB-4966-B807-AC4681A29A87}"/>
    <cellStyle name="20% - Accent2 2 2 2 7" xfId="4476" xr:uid="{00000000-0005-0000-0000-0000A3110000}"/>
    <cellStyle name="20% - Accent2 2 2 2 7 2" xfId="14067" xr:uid="{B496D549-5E87-4BBE-904C-679A0C661667}"/>
    <cellStyle name="20% - Accent2 2 2 2 8" xfId="9064" xr:uid="{00000000-0005-0000-0000-00008F230000}"/>
    <cellStyle name="20% - Accent2 2 2 2 9" xfId="9616" xr:uid="{626745B0-3842-49D1-9416-D63BD9A551BB}"/>
    <cellStyle name="20% - Accent2 2 2 3" xfId="541" xr:uid="{00000000-0005-0000-0000-000044020000}"/>
    <cellStyle name="20% - Accent2 2 2 3 2" xfId="2812" xr:uid="{00000000-0005-0000-0000-0000230B0000}"/>
    <cellStyle name="20% - Accent2 2 2 3 2 2" xfId="7034" xr:uid="{00000000-0005-0000-0000-0000A11B0000}"/>
    <cellStyle name="20% - Accent2 2 2 3 2 2 2" xfId="16625" xr:uid="{2040F72D-D280-466C-A807-1C25BD21E1EE}"/>
    <cellStyle name="20% - Accent2 2 2 3 2 3" xfId="12404" xr:uid="{8B0B7782-339F-44CE-9B6B-C6D5B53C31FF}"/>
    <cellStyle name="20% - Accent2 2 2 3 3" xfId="4889" xr:uid="{00000000-0005-0000-0000-000040130000}"/>
    <cellStyle name="20% - Accent2 2 2 3 3 2" xfId="14480" xr:uid="{E124FE84-00C2-470D-834C-845A59447F00}"/>
    <cellStyle name="20% - Accent2 2 2 3 4" xfId="9282" xr:uid="{00000000-0005-0000-0000-000069240000}"/>
    <cellStyle name="20% - Accent2 2 2 3 5" xfId="10134" xr:uid="{BBCD2892-9D13-4FB8-9B56-C9AA7FD7D7DE}"/>
    <cellStyle name="20% - Accent2 2 2 4" xfId="994" xr:uid="{00000000-0005-0000-0000-000009040000}"/>
    <cellStyle name="20% - Accent2 2 2 4 2" xfId="3225" xr:uid="{00000000-0005-0000-0000-0000C00C0000}"/>
    <cellStyle name="20% - Accent2 2 2 4 2 2" xfId="7447" xr:uid="{00000000-0005-0000-0000-00003E1D0000}"/>
    <cellStyle name="20% - Accent2 2 2 4 2 2 2" xfId="17038" xr:uid="{1C7314B4-2F7D-4542-B382-012A7F5FD4F1}"/>
    <cellStyle name="20% - Accent2 2 2 4 2 3" xfId="12817" xr:uid="{1D3836B6-726B-45B0-986D-61EADD0D28F5}"/>
    <cellStyle name="20% - Accent2 2 2 4 3" xfId="5302" xr:uid="{00000000-0005-0000-0000-0000DD140000}"/>
    <cellStyle name="20% - Accent2 2 2 4 3 2" xfId="14893" xr:uid="{E2C52338-04F8-4876-AE3B-708C4BC6FE13}"/>
    <cellStyle name="20% - Accent2 2 2 4 4" xfId="10587" xr:uid="{18AA146E-C863-4E9D-8353-CEF9A8A3F755}"/>
    <cellStyle name="20% - Accent2 2 2 5" xfId="1408" xr:uid="{00000000-0005-0000-0000-0000A7050000}"/>
    <cellStyle name="20% - Accent2 2 2 5 2" xfId="3638" xr:uid="{00000000-0005-0000-0000-00005D0E0000}"/>
    <cellStyle name="20% - Accent2 2 2 5 2 2" xfId="7860" xr:uid="{00000000-0005-0000-0000-0000DB1E0000}"/>
    <cellStyle name="20% - Accent2 2 2 5 2 2 2" xfId="17451" xr:uid="{317C46E7-B3FC-454D-845C-A2ACC7931B85}"/>
    <cellStyle name="20% - Accent2 2 2 5 2 3" xfId="13230" xr:uid="{CFD43D12-BFAC-4BE8-9D44-21E2E6636187}"/>
    <cellStyle name="20% - Accent2 2 2 5 3" xfId="5715" xr:uid="{00000000-0005-0000-0000-00007A160000}"/>
    <cellStyle name="20% - Accent2 2 2 5 3 2" xfId="15306" xr:uid="{6AB924ED-725D-4EDA-B9CF-3CAF2FC76876}"/>
    <cellStyle name="20% - Accent2 2 2 5 4" xfId="11001" xr:uid="{022BD32A-C019-414E-A4B2-1AE1724E200B}"/>
    <cellStyle name="20% - Accent2 2 2 6" xfId="1822" xr:uid="{00000000-0005-0000-0000-000045070000}"/>
    <cellStyle name="20% - Accent2 2 2 6 2" xfId="4051" xr:uid="{00000000-0005-0000-0000-0000FA0F0000}"/>
    <cellStyle name="20% - Accent2 2 2 6 2 2" xfId="8273" xr:uid="{00000000-0005-0000-0000-000078200000}"/>
    <cellStyle name="20% - Accent2 2 2 6 2 2 2" xfId="17864" xr:uid="{C733552D-C1E3-4392-82E2-4428617E7B6E}"/>
    <cellStyle name="20% - Accent2 2 2 6 2 3" xfId="13643" xr:uid="{6FE9A4D0-AFF9-4AA1-98F6-BEBA151D3FCD}"/>
    <cellStyle name="20% - Accent2 2 2 6 3" xfId="6128" xr:uid="{00000000-0005-0000-0000-000017180000}"/>
    <cellStyle name="20% - Accent2 2 2 6 3 2" xfId="15719" xr:uid="{CAD84A2F-8EDD-497E-94CA-7E262BB102ED}"/>
    <cellStyle name="20% - Accent2 2 2 6 4" xfId="11414" xr:uid="{47AF630A-A2CE-4796-BC4D-BDF7A4E8F3ED}"/>
    <cellStyle name="20% - Accent2 2 2 7" xfId="2235" xr:uid="{00000000-0005-0000-0000-0000E2080000}"/>
    <cellStyle name="20% - Accent2 2 2 7 2" xfId="6541" xr:uid="{00000000-0005-0000-0000-0000B4190000}"/>
    <cellStyle name="20% - Accent2 2 2 7 2 2" xfId="16132" xr:uid="{3F4C928F-94B2-49CD-9847-0C4B9AC5B249}"/>
    <cellStyle name="20% - Accent2 2 2 7 3" xfId="11827" xr:uid="{036A543A-3A8A-41ED-A359-3140F513D8F3}"/>
    <cellStyle name="20% - Accent2 2 2 8" xfId="4475" xr:uid="{00000000-0005-0000-0000-0000A2110000}"/>
    <cellStyle name="20% - Accent2 2 2 8 2" xfId="14066" xr:uid="{33CAD188-E7B7-41BD-832E-E1349CA71CEF}"/>
    <cellStyle name="20% - Accent2 2 2 9" xfId="8857" xr:uid="{00000000-0005-0000-0000-0000C0220000}"/>
    <cellStyle name="20% - Accent2 2 3" xfId="11" xr:uid="{00000000-0005-0000-0000-00000D000000}"/>
    <cellStyle name="20% - Accent2 2 3 2" xfId="543" xr:uid="{00000000-0005-0000-0000-000046020000}"/>
    <cellStyle name="20% - Accent2 2 3 2 2" xfId="2814" xr:uid="{00000000-0005-0000-0000-0000250B0000}"/>
    <cellStyle name="20% - Accent2 2 3 2 2 2" xfId="7036" xr:uid="{00000000-0005-0000-0000-0000A31B0000}"/>
    <cellStyle name="20% - Accent2 2 3 2 2 2 2" xfId="16627" xr:uid="{8140DE5D-8299-4A7C-9014-E93D7D9EA706}"/>
    <cellStyle name="20% - Accent2 2 3 2 2 3" xfId="12406" xr:uid="{5319D138-C1E6-45B6-88BB-5707D746B104}"/>
    <cellStyle name="20% - Accent2 2 3 2 3" xfId="4891" xr:uid="{00000000-0005-0000-0000-000042130000}"/>
    <cellStyle name="20% - Accent2 2 3 2 3 2" xfId="14482" xr:uid="{7C356946-90D8-4708-80E2-DC6807E6441F}"/>
    <cellStyle name="20% - Accent2 2 3 2 4" xfId="9386" xr:uid="{00000000-0005-0000-0000-0000D1240000}"/>
    <cellStyle name="20% - Accent2 2 3 2 5" xfId="10136" xr:uid="{41973809-B87A-41C3-A7FC-44AF403EE493}"/>
    <cellStyle name="20% - Accent2 2 3 3" xfId="996" xr:uid="{00000000-0005-0000-0000-00000B040000}"/>
    <cellStyle name="20% - Accent2 2 3 3 2" xfId="3227" xr:uid="{00000000-0005-0000-0000-0000C20C0000}"/>
    <cellStyle name="20% - Accent2 2 3 3 2 2" xfId="7449" xr:uid="{00000000-0005-0000-0000-0000401D0000}"/>
    <cellStyle name="20% - Accent2 2 3 3 2 2 2" xfId="17040" xr:uid="{2B660DAC-9EE4-44D1-B983-41C31511B94A}"/>
    <cellStyle name="20% - Accent2 2 3 3 2 3" xfId="12819" xr:uid="{CFC935B3-AE26-4070-ADEF-290AE9BA28B2}"/>
    <cellStyle name="20% - Accent2 2 3 3 3" xfId="5304" xr:uid="{00000000-0005-0000-0000-0000DF140000}"/>
    <cellStyle name="20% - Accent2 2 3 3 3 2" xfId="14895" xr:uid="{10835FBF-26C5-469B-A495-6DFD3EBF157B}"/>
    <cellStyle name="20% - Accent2 2 3 3 4" xfId="10589" xr:uid="{0ED808BC-1476-4173-95D2-B1FBBBB69913}"/>
    <cellStyle name="20% - Accent2 2 3 4" xfId="1410" xr:uid="{00000000-0005-0000-0000-0000A9050000}"/>
    <cellStyle name="20% - Accent2 2 3 4 2" xfId="3640" xr:uid="{00000000-0005-0000-0000-00005F0E0000}"/>
    <cellStyle name="20% - Accent2 2 3 4 2 2" xfId="7862" xr:uid="{00000000-0005-0000-0000-0000DD1E0000}"/>
    <cellStyle name="20% - Accent2 2 3 4 2 2 2" xfId="17453" xr:uid="{A978B9DA-8D3F-4198-AED8-925ECEF8283B}"/>
    <cellStyle name="20% - Accent2 2 3 4 2 3" xfId="13232" xr:uid="{C2B00F4B-D944-4A0C-B616-1F94D52CD71B}"/>
    <cellStyle name="20% - Accent2 2 3 4 3" xfId="5717" xr:uid="{00000000-0005-0000-0000-00007C160000}"/>
    <cellStyle name="20% - Accent2 2 3 4 3 2" xfId="15308" xr:uid="{358FA354-7179-4640-A164-710B5620E052}"/>
    <cellStyle name="20% - Accent2 2 3 4 4" xfId="11003" xr:uid="{61F15226-9EA4-4B98-B3E3-784F3E4F1431}"/>
    <cellStyle name="20% - Accent2 2 3 5" xfId="1824" xr:uid="{00000000-0005-0000-0000-000047070000}"/>
    <cellStyle name="20% - Accent2 2 3 5 2" xfId="4053" xr:uid="{00000000-0005-0000-0000-0000FC0F0000}"/>
    <cellStyle name="20% - Accent2 2 3 5 2 2" xfId="8275" xr:uid="{00000000-0005-0000-0000-00007A200000}"/>
    <cellStyle name="20% - Accent2 2 3 5 2 2 2" xfId="17866" xr:uid="{730C1854-921F-472F-8AAE-AAAC5AF39540}"/>
    <cellStyle name="20% - Accent2 2 3 5 2 3" xfId="13645" xr:uid="{696FCA51-E80C-42F8-903D-BDB8BDCEE8CB}"/>
    <cellStyle name="20% - Accent2 2 3 5 3" xfId="6130" xr:uid="{00000000-0005-0000-0000-000019180000}"/>
    <cellStyle name="20% - Accent2 2 3 5 3 2" xfId="15721" xr:uid="{7357F437-FC31-4C36-AA63-B336461E6C7F}"/>
    <cellStyle name="20% - Accent2 2 3 5 4" xfId="11416" xr:uid="{386A03CF-3EC1-4F1E-BD95-FD2C0B2FFBF3}"/>
    <cellStyle name="20% - Accent2 2 3 6" xfId="2237" xr:uid="{00000000-0005-0000-0000-0000E4080000}"/>
    <cellStyle name="20% - Accent2 2 3 6 2" xfId="6543" xr:uid="{00000000-0005-0000-0000-0000B6190000}"/>
    <cellStyle name="20% - Accent2 2 3 6 2 2" xfId="16134" xr:uid="{289EDF72-255C-4CF3-A419-7B554E08EB69}"/>
    <cellStyle name="20% - Accent2 2 3 6 3" xfId="11829" xr:uid="{B943D25C-0483-48B6-B922-F8E55FF1FE70}"/>
    <cellStyle name="20% - Accent2 2 3 7" xfId="4477" xr:uid="{00000000-0005-0000-0000-0000A4110000}"/>
    <cellStyle name="20% - Accent2 2 3 7 2" xfId="14068" xr:uid="{7FA431ED-E968-46DE-8823-3BB44D6A86CB}"/>
    <cellStyle name="20% - Accent2 2 3 8" xfId="8961" xr:uid="{00000000-0005-0000-0000-000028230000}"/>
    <cellStyle name="20% - Accent2 2 3 9" xfId="9617" xr:uid="{86064449-B51F-4827-8EC5-53C95B9B0C7F}"/>
    <cellStyle name="20% - Accent2 2 4" xfId="540" xr:uid="{00000000-0005-0000-0000-000043020000}"/>
    <cellStyle name="20% - Accent2 2 4 2" xfId="2811" xr:uid="{00000000-0005-0000-0000-0000220B0000}"/>
    <cellStyle name="20% - Accent2 2 4 2 2" xfId="7033" xr:uid="{00000000-0005-0000-0000-0000A01B0000}"/>
    <cellStyle name="20% - Accent2 2 4 2 2 2" xfId="16624" xr:uid="{BD82A3C5-AFE9-418E-8F2E-68B6EE2FD62E}"/>
    <cellStyle name="20% - Accent2 2 4 2 3" xfId="12403" xr:uid="{88E00D7D-A439-4E2F-AD94-A5649291C882}"/>
    <cellStyle name="20% - Accent2 2 4 3" xfId="4888" xr:uid="{00000000-0005-0000-0000-00003F130000}"/>
    <cellStyle name="20% - Accent2 2 4 3 2" xfId="14479" xr:uid="{4B039EB3-498F-4D2A-A11B-5E8E450E4664}"/>
    <cellStyle name="20% - Accent2 2 4 4" xfId="9178" xr:uid="{00000000-0005-0000-0000-000001240000}"/>
    <cellStyle name="20% - Accent2 2 4 5" xfId="10133" xr:uid="{B61392D0-CA94-40B9-8081-399FD6C9A3E2}"/>
    <cellStyle name="20% - Accent2 2 5" xfId="993" xr:uid="{00000000-0005-0000-0000-000008040000}"/>
    <cellStyle name="20% - Accent2 2 5 2" xfId="3224" xr:uid="{00000000-0005-0000-0000-0000BF0C0000}"/>
    <cellStyle name="20% - Accent2 2 5 2 2" xfId="7446" xr:uid="{00000000-0005-0000-0000-00003D1D0000}"/>
    <cellStyle name="20% - Accent2 2 5 2 2 2" xfId="17037" xr:uid="{BC2FF78C-BDA0-41B4-B239-0261CE83B6BD}"/>
    <cellStyle name="20% - Accent2 2 5 2 3" xfId="12816" xr:uid="{CD8198E2-E367-4675-B7A3-A8AB3F994A5F}"/>
    <cellStyle name="20% - Accent2 2 5 3" xfId="5301" xr:uid="{00000000-0005-0000-0000-0000DC140000}"/>
    <cellStyle name="20% - Accent2 2 5 3 2" xfId="14892" xr:uid="{4F0D5C71-0E46-4061-BBDC-8CC0AA4F3B76}"/>
    <cellStyle name="20% - Accent2 2 5 4" xfId="10586" xr:uid="{1A16E1B5-62C2-4CE0-B22C-DE8BBE7B81D6}"/>
    <cellStyle name="20% - Accent2 2 6" xfId="1407" xr:uid="{00000000-0005-0000-0000-0000A6050000}"/>
    <cellStyle name="20% - Accent2 2 6 2" xfId="3637" xr:uid="{00000000-0005-0000-0000-00005C0E0000}"/>
    <cellStyle name="20% - Accent2 2 6 2 2" xfId="7859" xr:uid="{00000000-0005-0000-0000-0000DA1E0000}"/>
    <cellStyle name="20% - Accent2 2 6 2 2 2" xfId="17450" xr:uid="{D58C5A4B-1FD4-4C58-9387-8FB886CF1EA9}"/>
    <cellStyle name="20% - Accent2 2 6 2 3" xfId="13229" xr:uid="{05F0AA0E-BDE6-41B7-9A80-634BF851B042}"/>
    <cellStyle name="20% - Accent2 2 6 3" xfId="5714" xr:uid="{00000000-0005-0000-0000-000079160000}"/>
    <cellStyle name="20% - Accent2 2 6 3 2" xfId="15305" xr:uid="{87CFEE9E-E9C5-4374-A256-405BC7706934}"/>
    <cellStyle name="20% - Accent2 2 6 4" xfId="11000" xr:uid="{7336BF9F-7303-4528-BFFA-B81F5BF9FA0E}"/>
    <cellStyle name="20% - Accent2 2 7" xfId="1821" xr:uid="{00000000-0005-0000-0000-000044070000}"/>
    <cellStyle name="20% - Accent2 2 7 2" xfId="4050" xr:uid="{00000000-0005-0000-0000-0000F90F0000}"/>
    <cellStyle name="20% - Accent2 2 7 2 2" xfId="8272" xr:uid="{00000000-0005-0000-0000-000077200000}"/>
    <cellStyle name="20% - Accent2 2 7 2 2 2" xfId="17863" xr:uid="{9B82FEF6-A96E-46F8-8D94-87D347EE4359}"/>
    <cellStyle name="20% - Accent2 2 7 2 3" xfId="13642" xr:uid="{BD5F4720-8BCC-49CB-A6AC-B0E0BC1B6ECA}"/>
    <cellStyle name="20% - Accent2 2 7 3" xfId="6127" xr:uid="{00000000-0005-0000-0000-000016180000}"/>
    <cellStyle name="20% - Accent2 2 7 3 2" xfId="15718" xr:uid="{CF551DF2-856C-41FC-83B8-260887B75549}"/>
    <cellStyle name="20% - Accent2 2 7 4" xfId="11413" xr:uid="{ACB9DCC2-AB2D-4F48-859A-1A9B2BAFD132}"/>
    <cellStyle name="20% - Accent2 2 8" xfId="2234" xr:uid="{00000000-0005-0000-0000-0000E1080000}"/>
    <cellStyle name="20% - Accent2 2 8 2" xfId="6540" xr:uid="{00000000-0005-0000-0000-0000B3190000}"/>
    <cellStyle name="20% - Accent2 2 8 2 2" xfId="16131" xr:uid="{B8E9EC76-0A1A-41BF-AB0B-FCE5C30B2FDB}"/>
    <cellStyle name="20% - Accent2 2 8 3" xfId="11826" xr:uid="{F4CC54D7-44F5-494C-8D87-2B657A9583B6}"/>
    <cellStyle name="20% - Accent2 2 9" xfId="4474" xr:uid="{00000000-0005-0000-0000-0000A1110000}"/>
    <cellStyle name="20% - Accent2 2 9 2" xfId="14065" xr:uid="{1855FA95-731E-43B5-8AF6-314F223D7BFD}"/>
    <cellStyle name="20% - Accent2 3" xfId="12" xr:uid="{00000000-0005-0000-0000-00000E000000}"/>
    <cellStyle name="20% - Accent2 3 10" xfId="9618" xr:uid="{7EA54A55-8061-432E-A11C-40D2CF3BA797}"/>
    <cellStyle name="20% - Accent2 3 2" xfId="13" xr:uid="{00000000-0005-0000-0000-00000F000000}"/>
    <cellStyle name="20% - Accent2 3 2 2" xfId="545" xr:uid="{00000000-0005-0000-0000-000048020000}"/>
    <cellStyle name="20% - Accent2 3 2 2 2" xfId="2816" xr:uid="{00000000-0005-0000-0000-0000270B0000}"/>
    <cellStyle name="20% - Accent2 3 2 2 2 2" xfId="7038" xr:uid="{00000000-0005-0000-0000-0000A51B0000}"/>
    <cellStyle name="20% - Accent2 3 2 2 2 2 2" xfId="16629" xr:uid="{347A03A2-BF95-4426-A57B-EB0BA780B02D}"/>
    <cellStyle name="20% - Accent2 3 2 2 2 3" xfId="12408" xr:uid="{480FD8EC-F171-4A35-A592-379196598477}"/>
    <cellStyle name="20% - Accent2 3 2 2 3" xfId="4893" xr:uid="{00000000-0005-0000-0000-000044130000}"/>
    <cellStyle name="20% - Accent2 3 2 2 3 2" xfId="14484" xr:uid="{52CC60DE-1F49-4FC9-B405-C22F701CDD3C}"/>
    <cellStyle name="20% - Accent2 3 2 2 4" xfId="9456" xr:uid="{00000000-0005-0000-0000-000017250000}"/>
    <cellStyle name="20% - Accent2 3 2 2 5" xfId="10138" xr:uid="{62061200-5D25-456F-8C34-CC63752A37BF}"/>
    <cellStyle name="20% - Accent2 3 2 3" xfId="998" xr:uid="{00000000-0005-0000-0000-00000D040000}"/>
    <cellStyle name="20% - Accent2 3 2 3 2" xfId="3229" xr:uid="{00000000-0005-0000-0000-0000C40C0000}"/>
    <cellStyle name="20% - Accent2 3 2 3 2 2" xfId="7451" xr:uid="{00000000-0005-0000-0000-0000421D0000}"/>
    <cellStyle name="20% - Accent2 3 2 3 2 2 2" xfId="17042" xr:uid="{775B4024-39ED-458C-9C06-40031788BB7A}"/>
    <cellStyle name="20% - Accent2 3 2 3 2 3" xfId="12821" xr:uid="{3E7F60C2-BFE9-4ACC-9CF8-D25159F54634}"/>
    <cellStyle name="20% - Accent2 3 2 3 3" xfId="5306" xr:uid="{00000000-0005-0000-0000-0000E1140000}"/>
    <cellStyle name="20% - Accent2 3 2 3 3 2" xfId="14897" xr:uid="{82891A32-E1E7-4CC3-9BAF-F8749D723BAB}"/>
    <cellStyle name="20% - Accent2 3 2 3 4" xfId="10591" xr:uid="{3D67EF72-A3D8-4259-BB78-DEDFC4AF1D73}"/>
    <cellStyle name="20% - Accent2 3 2 4" xfId="1412" xr:uid="{00000000-0005-0000-0000-0000AB050000}"/>
    <cellStyle name="20% - Accent2 3 2 4 2" xfId="3642" xr:uid="{00000000-0005-0000-0000-0000610E0000}"/>
    <cellStyle name="20% - Accent2 3 2 4 2 2" xfId="7864" xr:uid="{00000000-0005-0000-0000-0000DF1E0000}"/>
    <cellStyle name="20% - Accent2 3 2 4 2 2 2" xfId="17455" xr:uid="{689BE199-1E28-4CBF-85C2-7388970CFB62}"/>
    <cellStyle name="20% - Accent2 3 2 4 2 3" xfId="13234" xr:uid="{71CBE386-28CE-445F-900B-7C6D66ABA1E7}"/>
    <cellStyle name="20% - Accent2 3 2 4 3" xfId="5719" xr:uid="{00000000-0005-0000-0000-00007E160000}"/>
    <cellStyle name="20% - Accent2 3 2 4 3 2" xfId="15310" xr:uid="{262C47E3-3D9C-42D5-ACEF-A67845BF3034}"/>
    <cellStyle name="20% - Accent2 3 2 4 4" xfId="11005" xr:uid="{C00150DC-51B8-4E72-8F0A-3EA0D529280D}"/>
    <cellStyle name="20% - Accent2 3 2 5" xfId="1826" xr:uid="{00000000-0005-0000-0000-000049070000}"/>
    <cellStyle name="20% - Accent2 3 2 5 2" xfId="4055" xr:uid="{00000000-0005-0000-0000-0000FE0F0000}"/>
    <cellStyle name="20% - Accent2 3 2 5 2 2" xfId="8277" xr:uid="{00000000-0005-0000-0000-00007C200000}"/>
    <cellStyle name="20% - Accent2 3 2 5 2 2 2" xfId="17868" xr:uid="{E4C011BF-A285-4654-A137-7AD9EFFFC557}"/>
    <cellStyle name="20% - Accent2 3 2 5 2 3" xfId="13647" xr:uid="{0308C8D1-077B-4611-A298-8929B0108786}"/>
    <cellStyle name="20% - Accent2 3 2 5 3" xfId="6132" xr:uid="{00000000-0005-0000-0000-00001B180000}"/>
    <cellStyle name="20% - Accent2 3 2 5 3 2" xfId="15723" xr:uid="{9AB88784-BEB0-4203-952A-561CA9574D6B}"/>
    <cellStyle name="20% - Accent2 3 2 5 4" xfId="11418" xr:uid="{B04FC734-55A4-473D-BC0B-6432C6AF91C3}"/>
    <cellStyle name="20% - Accent2 3 2 6" xfId="2239" xr:uid="{00000000-0005-0000-0000-0000E6080000}"/>
    <cellStyle name="20% - Accent2 3 2 6 2" xfId="6545" xr:uid="{00000000-0005-0000-0000-0000B8190000}"/>
    <cellStyle name="20% - Accent2 3 2 6 2 2" xfId="16136" xr:uid="{1EB8E911-CFA8-4710-95A0-450D3DB262E6}"/>
    <cellStyle name="20% - Accent2 3 2 6 3" xfId="11831" xr:uid="{BE6CA1D4-D29C-4B4D-A539-8F61F8EC563A}"/>
    <cellStyle name="20% - Accent2 3 2 7" xfId="4479" xr:uid="{00000000-0005-0000-0000-0000A6110000}"/>
    <cellStyle name="20% - Accent2 3 2 7 2" xfId="14070" xr:uid="{E89A6255-7664-47A7-A156-3469E0FCB86D}"/>
    <cellStyle name="20% - Accent2 3 2 8" xfId="9031" xr:uid="{00000000-0005-0000-0000-00006E230000}"/>
    <cellStyle name="20% - Accent2 3 2 9" xfId="9619" xr:uid="{FD78F5F5-2271-4AB1-BB5D-8A8EB5F917A2}"/>
    <cellStyle name="20% - Accent2 3 3" xfId="544" xr:uid="{00000000-0005-0000-0000-000047020000}"/>
    <cellStyle name="20% - Accent2 3 3 2" xfId="2815" xr:uid="{00000000-0005-0000-0000-0000260B0000}"/>
    <cellStyle name="20% - Accent2 3 3 2 2" xfId="7037" xr:uid="{00000000-0005-0000-0000-0000A41B0000}"/>
    <cellStyle name="20% - Accent2 3 3 2 2 2" xfId="16628" xr:uid="{A636D889-A627-4350-A94F-D9D828C108B6}"/>
    <cellStyle name="20% - Accent2 3 3 2 3" xfId="12407" xr:uid="{A34313A6-84DE-48C4-A2A7-2063ACAC1E4B}"/>
    <cellStyle name="20% - Accent2 3 3 3" xfId="4892" xr:uid="{00000000-0005-0000-0000-000043130000}"/>
    <cellStyle name="20% - Accent2 3 3 3 2" xfId="14483" xr:uid="{1412EDCB-E4AB-4D38-8277-34C1386B5A21}"/>
    <cellStyle name="20% - Accent2 3 3 4" xfId="9249" xr:uid="{00000000-0005-0000-0000-000048240000}"/>
    <cellStyle name="20% - Accent2 3 3 5" xfId="10137" xr:uid="{2867EBC3-AB31-475B-BAA1-93E9222F699C}"/>
    <cellStyle name="20% - Accent2 3 4" xfId="997" xr:uid="{00000000-0005-0000-0000-00000C040000}"/>
    <cellStyle name="20% - Accent2 3 4 2" xfId="3228" xr:uid="{00000000-0005-0000-0000-0000C30C0000}"/>
    <cellStyle name="20% - Accent2 3 4 2 2" xfId="7450" xr:uid="{00000000-0005-0000-0000-0000411D0000}"/>
    <cellStyle name="20% - Accent2 3 4 2 2 2" xfId="17041" xr:uid="{492AB6FE-90E9-40B3-BBDC-3164633F75F7}"/>
    <cellStyle name="20% - Accent2 3 4 2 3" xfId="12820" xr:uid="{40DC7994-2467-4C31-BF5F-19768D8E3428}"/>
    <cellStyle name="20% - Accent2 3 4 3" xfId="5305" xr:uid="{00000000-0005-0000-0000-0000E0140000}"/>
    <cellStyle name="20% - Accent2 3 4 3 2" xfId="14896" xr:uid="{B9395E76-A95E-4D87-A1D3-84CD9FC7BEA3}"/>
    <cellStyle name="20% - Accent2 3 4 4" xfId="10590" xr:uid="{5F6EC087-5FC9-4ECD-B5C3-E5EB618F8629}"/>
    <cellStyle name="20% - Accent2 3 5" xfId="1411" xr:uid="{00000000-0005-0000-0000-0000AA050000}"/>
    <cellStyle name="20% - Accent2 3 5 2" xfId="3641" xr:uid="{00000000-0005-0000-0000-0000600E0000}"/>
    <cellStyle name="20% - Accent2 3 5 2 2" xfId="7863" xr:uid="{00000000-0005-0000-0000-0000DE1E0000}"/>
    <cellStyle name="20% - Accent2 3 5 2 2 2" xfId="17454" xr:uid="{7F41EEF4-4EFD-4E57-94C7-E823B0424A0F}"/>
    <cellStyle name="20% - Accent2 3 5 2 3" xfId="13233" xr:uid="{9E2C77E6-B9D8-43C3-A201-94D12EF1AB05}"/>
    <cellStyle name="20% - Accent2 3 5 3" xfId="5718" xr:uid="{00000000-0005-0000-0000-00007D160000}"/>
    <cellStyle name="20% - Accent2 3 5 3 2" xfId="15309" xr:uid="{27213D02-8C9A-453F-8432-4C4EE34234BA}"/>
    <cellStyle name="20% - Accent2 3 5 4" xfId="11004" xr:uid="{33B56410-3D0C-4023-9572-DC41C4138147}"/>
    <cellStyle name="20% - Accent2 3 6" xfId="1825" xr:uid="{00000000-0005-0000-0000-000048070000}"/>
    <cellStyle name="20% - Accent2 3 6 2" xfId="4054" xr:uid="{00000000-0005-0000-0000-0000FD0F0000}"/>
    <cellStyle name="20% - Accent2 3 6 2 2" xfId="8276" xr:uid="{00000000-0005-0000-0000-00007B200000}"/>
    <cellStyle name="20% - Accent2 3 6 2 2 2" xfId="17867" xr:uid="{3441C086-719B-440D-808F-16A8A3A9D1E6}"/>
    <cellStyle name="20% - Accent2 3 6 2 3" xfId="13646" xr:uid="{C2CF45BA-F622-462F-9499-E5A886B5792F}"/>
    <cellStyle name="20% - Accent2 3 6 3" xfId="6131" xr:uid="{00000000-0005-0000-0000-00001A180000}"/>
    <cellStyle name="20% - Accent2 3 6 3 2" xfId="15722" xr:uid="{555F364D-58A7-4813-8124-8E927D97203C}"/>
    <cellStyle name="20% - Accent2 3 6 4" xfId="11417" xr:uid="{D5F5AFDE-28D1-4DFB-BAAC-02FA47BAF795}"/>
    <cellStyle name="20% - Accent2 3 7" xfId="2238" xr:uid="{00000000-0005-0000-0000-0000E5080000}"/>
    <cellStyle name="20% - Accent2 3 7 2" xfId="6544" xr:uid="{00000000-0005-0000-0000-0000B7190000}"/>
    <cellStyle name="20% - Accent2 3 7 2 2" xfId="16135" xr:uid="{056E52F2-D15E-45DF-AEE4-E072937099FD}"/>
    <cellStyle name="20% - Accent2 3 7 3" xfId="11830" xr:uid="{B72BA0E7-AA4B-401B-93F9-7FE9B079C797}"/>
    <cellStyle name="20% - Accent2 3 8" xfId="4478" xr:uid="{00000000-0005-0000-0000-0000A5110000}"/>
    <cellStyle name="20% - Accent2 3 8 2" xfId="14069" xr:uid="{4A0963E3-00E8-4129-B02F-4C5E2DC24DB2}"/>
    <cellStyle name="20% - Accent2 3 9" xfId="8824" xr:uid="{00000000-0005-0000-0000-00009F220000}"/>
    <cellStyle name="20% - Accent2 4" xfId="14" xr:uid="{00000000-0005-0000-0000-000010000000}"/>
    <cellStyle name="20% - Accent2 4 2" xfId="546" xr:uid="{00000000-0005-0000-0000-000049020000}"/>
    <cellStyle name="20% - Accent2 4 2 2" xfId="2817" xr:uid="{00000000-0005-0000-0000-0000280B0000}"/>
    <cellStyle name="20% - Accent2 4 2 2 2" xfId="7039" xr:uid="{00000000-0005-0000-0000-0000A61B0000}"/>
    <cellStyle name="20% - Accent2 4 2 2 2 2" xfId="16630" xr:uid="{199DC8E6-C3AE-4AAA-A8C1-3017206CDD91}"/>
    <cellStyle name="20% - Accent2 4 2 2 3" xfId="12409" xr:uid="{58F9E1C5-908B-40F8-9909-A06448262C09}"/>
    <cellStyle name="20% - Accent2 4 2 3" xfId="4894" xr:uid="{00000000-0005-0000-0000-000045130000}"/>
    <cellStyle name="20% - Accent2 4 2 3 2" xfId="14485" xr:uid="{72E2FE0F-0099-422A-B150-A3ADBD3C2711}"/>
    <cellStyle name="20% - Accent2 4 2 4" xfId="9335" xr:uid="{00000000-0005-0000-0000-00009E240000}"/>
    <cellStyle name="20% - Accent2 4 2 5" xfId="10139" xr:uid="{1BAE6970-983F-4C80-9034-97869B1BE898}"/>
    <cellStyle name="20% - Accent2 4 3" xfId="999" xr:uid="{00000000-0005-0000-0000-00000E040000}"/>
    <cellStyle name="20% - Accent2 4 3 2" xfId="3230" xr:uid="{00000000-0005-0000-0000-0000C50C0000}"/>
    <cellStyle name="20% - Accent2 4 3 2 2" xfId="7452" xr:uid="{00000000-0005-0000-0000-0000431D0000}"/>
    <cellStyle name="20% - Accent2 4 3 2 2 2" xfId="17043" xr:uid="{FD93FD9B-3320-4F0A-85B2-B82BCB67B43A}"/>
    <cellStyle name="20% - Accent2 4 3 2 3" xfId="12822" xr:uid="{8BF074A6-EFFB-4CF4-A448-9ADDC9115A18}"/>
    <cellStyle name="20% - Accent2 4 3 3" xfId="5307" xr:uid="{00000000-0005-0000-0000-0000E2140000}"/>
    <cellStyle name="20% - Accent2 4 3 3 2" xfId="14898" xr:uid="{563EC380-1BEA-4387-95BB-602D4422A065}"/>
    <cellStyle name="20% - Accent2 4 3 4" xfId="10592" xr:uid="{0F72BE66-0177-46C4-AEFE-849E6DCD846B}"/>
    <cellStyle name="20% - Accent2 4 4" xfId="1413" xr:uid="{00000000-0005-0000-0000-0000AC050000}"/>
    <cellStyle name="20% - Accent2 4 4 2" xfId="3643" xr:uid="{00000000-0005-0000-0000-0000620E0000}"/>
    <cellStyle name="20% - Accent2 4 4 2 2" xfId="7865" xr:uid="{00000000-0005-0000-0000-0000E01E0000}"/>
    <cellStyle name="20% - Accent2 4 4 2 2 2" xfId="17456" xr:uid="{7D3133DA-F1ED-4084-810B-7AF3B3C2698E}"/>
    <cellStyle name="20% - Accent2 4 4 2 3" xfId="13235" xr:uid="{CE6139D1-D027-4F3F-B632-4BCB30733520}"/>
    <cellStyle name="20% - Accent2 4 4 3" xfId="5720" xr:uid="{00000000-0005-0000-0000-00007F160000}"/>
    <cellStyle name="20% - Accent2 4 4 3 2" xfId="15311" xr:uid="{A5C02F6B-4928-4102-8B8C-E36237A744B9}"/>
    <cellStyle name="20% - Accent2 4 4 4" xfId="11006" xr:uid="{A1D1A3D2-3477-4976-87C0-DFA8287A64F8}"/>
    <cellStyle name="20% - Accent2 4 5" xfId="1827" xr:uid="{00000000-0005-0000-0000-00004A070000}"/>
    <cellStyle name="20% - Accent2 4 5 2" xfId="4056" xr:uid="{00000000-0005-0000-0000-0000FF0F0000}"/>
    <cellStyle name="20% - Accent2 4 5 2 2" xfId="8278" xr:uid="{00000000-0005-0000-0000-00007D200000}"/>
    <cellStyle name="20% - Accent2 4 5 2 2 2" xfId="17869" xr:uid="{D8514EDE-78F2-49BE-A948-59D8F295F2DA}"/>
    <cellStyle name="20% - Accent2 4 5 2 3" xfId="13648" xr:uid="{BAFC688D-E10E-4F27-A42F-FA349C3983AE}"/>
    <cellStyle name="20% - Accent2 4 5 3" xfId="6133" xr:uid="{00000000-0005-0000-0000-00001C180000}"/>
    <cellStyle name="20% - Accent2 4 5 3 2" xfId="15724" xr:uid="{7116A004-3573-47F3-96FB-77503B1F1B33}"/>
    <cellStyle name="20% - Accent2 4 5 4" xfId="11419" xr:uid="{08A44F9E-4467-4CC4-A053-DB5C7EF7341E}"/>
    <cellStyle name="20% - Accent2 4 6" xfId="2240" xr:uid="{00000000-0005-0000-0000-0000E7080000}"/>
    <cellStyle name="20% - Accent2 4 6 2" xfId="6546" xr:uid="{00000000-0005-0000-0000-0000B9190000}"/>
    <cellStyle name="20% - Accent2 4 6 2 2" xfId="16137" xr:uid="{DF73B5E9-95F2-436B-9257-395F690F1EEE}"/>
    <cellStyle name="20% - Accent2 4 6 3" xfId="11832" xr:uid="{EB27779E-A150-40B1-A394-F6A4F9231B5D}"/>
    <cellStyle name="20% - Accent2 4 7" xfId="4480" xr:uid="{00000000-0005-0000-0000-0000A7110000}"/>
    <cellStyle name="20% - Accent2 4 7 2" xfId="14071" xr:uid="{2EA35767-053D-4452-9C14-797F9A0949DE}"/>
    <cellStyle name="20% - Accent2 4 8" xfId="8910" xr:uid="{00000000-0005-0000-0000-0000F5220000}"/>
    <cellStyle name="20% - Accent2 4 9" xfId="9620" xr:uid="{1D41A26B-6690-4D55-90E7-CF377C892775}"/>
    <cellStyle name="20% - Accent2 5" xfId="539" xr:uid="{00000000-0005-0000-0000-000042020000}"/>
    <cellStyle name="20% - Accent2 5 2" xfId="2810" xr:uid="{00000000-0005-0000-0000-0000210B0000}"/>
    <cellStyle name="20% - Accent2 5 2 2" xfId="7032" xr:uid="{00000000-0005-0000-0000-00009F1B0000}"/>
    <cellStyle name="20% - Accent2 5 2 2 2" xfId="16623" xr:uid="{4EDF9343-E705-4CB4-943F-07E38B3CCE33}"/>
    <cellStyle name="20% - Accent2 5 2 3" xfId="12402" xr:uid="{A7BAEA35-399E-41D7-B195-F497FE3B0EBD}"/>
    <cellStyle name="20% - Accent2 5 3" xfId="4887" xr:uid="{00000000-0005-0000-0000-00003E130000}"/>
    <cellStyle name="20% - Accent2 5 3 2" xfId="14478" xr:uid="{31DA4F07-D65C-4ACF-86A6-06E54D3F4E65}"/>
    <cellStyle name="20% - Accent2 5 4" xfId="9143" xr:uid="{00000000-0005-0000-0000-0000DE230000}"/>
    <cellStyle name="20% - Accent2 5 5" xfId="10132" xr:uid="{5929EA65-6C8C-4FC7-B2AD-8B4478A4AC69}"/>
    <cellStyle name="20% - Accent2 6" xfId="992" xr:uid="{00000000-0005-0000-0000-000007040000}"/>
    <cellStyle name="20% - Accent2 6 2" xfId="3223" xr:uid="{00000000-0005-0000-0000-0000BE0C0000}"/>
    <cellStyle name="20% - Accent2 6 2 2" xfId="7445" xr:uid="{00000000-0005-0000-0000-00003C1D0000}"/>
    <cellStyle name="20% - Accent2 6 2 2 2" xfId="17036" xr:uid="{90366140-1627-476D-B148-C2E71BAFB264}"/>
    <cellStyle name="20% - Accent2 6 2 3" xfId="12815" xr:uid="{EC3020A3-9770-4E4E-A416-664E03B5290F}"/>
    <cellStyle name="20% - Accent2 6 3" xfId="5300" xr:uid="{00000000-0005-0000-0000-0000DB140000}"/>
    <cellStyle name="20% - Accent2 6 3 2" xfId="14891" xr:uid="{6776486E-E8FF-48A7-B33E-BA0CFB889706}"/>
    <cellStyle name="20% - Accent2 6 4" xfId="10585" xr:uid="{7998B6A4-F1D0-4A13-B068-17B87EE9CC8A}"/>
    <cellStyle name="20% - Accent2 7" xfId="1406" xr:uid="{00000000-0005-0000-0000-0000A5050000}"/>
    <cellStyle name="20% - Accent2 7 2" xfId="3636" xr:uid="{00000000-0005-0000-0000-00005B0E0000}"/>
    <cellStyle name="20% - Accent2 7 2 2" xfId="7858" xr:uid="{00000000-0005-0000-0000-0000D91E0000}"/>
    <cellStyle name="20% - Accent2 7 2 2 2" xfId="17449" xr:uid="{86688B37-2F48-4BE8-BC6D-399CB87E03BF}"/>
    <cellStyle name="20% - Accent2 7 2 3" xfId="13228" xr:uid="{8867AC8A-7927-46CD-99AA-8238692DD373}"/>
    <cellStyle name="20% - Accent2 7 3" xfId="5713" xr:uid="{00000000-0005-0000-0000-000078160000}"/>
    <cellStyle name="20% - Accent2 7 3 2" xfId="15304" xr:uid="{33232BDE-570D-48BA-84B6-0A38B4AC34D2}"/>
    <cellStyle name="20% - Accent2 7 4" xfId="10999" xr:uid="{1324851A-5A5B-47AF-BBCE-DD43C5B2D310}"/>
    <cellStyle name="20% - Accent2 8" xfId="1820" xr:uid="{00000000-0005-0000-0000-000043070000}"/>
    <cellStyle name="20% - Accent2 8 2" xfId="4049" xr:uid="{00000000-0005-0000-0000-0000F80F0000}"/>
    <cellStyle name="20% - Accent2 8 2 2" xfId="8271" xr:uid="{00000000-0005-0000-0000-000076200000}"/>
    <cellStyle name="20% - Accent2 8 2 2 2" xfId="17862" xr:uid="{5E02A99D-9F21-4DC1-BF72-D7B7872B5189}"/>
    <cellStyle name="20% - Accent2 8 2 3" xfId="13641" xr:uid="{4947692B-5892-41FC-869E-58ABE460163D}"/>
    <cellStyle name="20% - Accent2 8 3" xfId="6126" xr:uid="{00000000-0005-0000-0000-000015180000}"/>
    <cellStyle name="20% - Accent2 8 3 2" xfId="15717" xr:uid="{C413859E-A3C0-4E0D-8A2C-7E075E883018}"/>
    <cellStyle name="20% - Accent2 8 4" xfId="11412" xr:uid="{D6D4FB16-84CB-4B21-973F-E332AF3F837C}"/>
    <cellStyle name="20% - Accent2 9" xfId="2233" xr:uid="{00000000-0005-0000-0000-0000E0080000}"/>
    <cellStyle name="20% - Accent2 9 2" xfId="6539" xr:uid="{00000000-0005-0000-0000-0000B2190000}"/>
    <cellStyle name="20% - Accent2 9 2 2" xfId="16130" xr:uid="{B73DFE40-AEB2-4AC2-AD8F-037660D71654}"/>
    <cellStyle name="20% - Accent2 9 3" xfId="11825" xr:uid="{B236E084-1A77-487A-A793-DC7B9A23CE1C}"/>
    <cellStyle name="20% - Accent3" xfId="9595" builtinId="38" customBuiltin="1"/>
    <cellStyle name="20% - Accent3 10" xfId="4481" xr:uid="{00000000-0005-0000-0000-0000A8110000}"/>
    <cellStyle name="20% - Accent3 10 2" xfId="14072" xr:uid="{83ED4DA4-FBD9-4704-8569-B6A263D4FE48}"/>
    <cellStyle name="20% - Accent3 11" xfId="8723" xr:uid="{00000000-0005-0000-0000-00003A220000}"/>
    <cellStyle name="20% - Accent3 2" xfId="15" xr:uid="{00000000-0005-0000-0000-000012000000}"/>
    <cellStyle name="20% - Accent3 2 10" xfId="8753" xr:uid="{00000000-0005-0000-0000-000058220000}"/>
    <cellStyle name="20% - Accent3 2 11" xfId="9621" xr:uid="{142C394E-E3D8-4A43-816C-6024E0EBA317}"/>
    <cellStyle name="20% - Accent3 2 2" xfId="16" xr:uid="{00000000-0005-0000-0000-000013000000}"/>
    <cellStyle name="20% - Accent3 2 2 10" xfId="9622" xr:uid="{BC4B99A7-ECC4-45C7-8359-EEE9C6EE1F39}"/>
    <cellStyle name="20% - Accent3 2 2 2" xfId="17" xr:uid="{00000000-0005-0000-0000-000014000000}"/>
    <cellStyle name="20% - Accent3 2 2 2 2" xfId="550" xr:uid="{00000000-0005-0000-0000-00004D020000}"/>
    <cellStyle name="20% - Accent3 2 2 2 2 2" xfId="2821" xr:uid="{00000000-0005-0000-0000-00002C0B0000}"/>
    <cellStyle name="20% - Accent3 2 2 2 2 2 2" xfId="7043" xr:uid="{00000000-0005-0000-0000-0000AA1B0000}"/>
    <cellStyle name="20% - Accent3 2 2 2 2 2 2 2" xfId="16634" xr:uid="{9F19BD62-C4A6-4C5D-BBB4-1C529144B1C6}"/>
    <cellStyle name="20% - Accent3 2 2 2 2 2 3" xfId="12413" xr:uid="{C3EF916A-11BA-424A-A05D-E8AD84C304DF}"/>
    <cellStyle name="20% - Accent3 2 2 2 2 3" xfId="4898" xr:uid="{00000000-0005-0000-0000-000049130000}"/>
    <cellStyle name="20% - Accent3 2 2 2 2 3 2" xfId="14489" xr:uid="{27881247-0787-4C21-9315-68E17E4E5836}"/>
    <cellStyle name="20% - Accent3 2 2 2 2 4" xfId="9488" xr:uid="{00000000-0005-0000-0000-000037250000}"/>
    <cellStyle name="20% - Accent3 2 2 2 2 5" xfId="10143" xr:uid="{7A5CA20C-61A1-47AB-BFF6-8DE2C8CF2F6B}"/>
    <cellStyle name="20% - Accent3 2 2 2 3" xfId="1003" xr:uid="{00000000-0005-0000-0000-000012040000}"/>
    <cellStyle name="20% - Accent3 2 2 2 3 2" xfId="3234" xr:uid="{00000000-0005-0000-0000-0000C90C0000}"/>
    <cellStyle name="20% - Accent3 2 2 2 3 2 2" xfId="7456" xr:uid="{00000000-0005-0000-0000-0000471D0000}"/>
    <cellStyle name="20% - Accent3 2 2 2 3 2 2 2" xfId="17047" xr:uid="{3F9D4482-12C4-4DBB-91CA-B437F16DF4BD}"/>
    <cellStyle name="20% - Accent3 2 2 2 3 2 3" xfId="12826" xr:uid="{A2F702F1-7ACA-472A-8363-D7AFB4AE55CD}"/>
    <cellStyle name="20% - Accent3 2 2 2 3 3" xfId="5311" xr:uid="{00000000-0005-0000-0000-0000E6140000}"/>
    <cellStyle name="20% - Accent3 2 2 2 3 3 2" xfId="14902" xr:uid="{D4D30B17-745F-45CB-870B-B7748C40412C}"/>
    <cellStyle name="20% - Accent3 2 2 2 3 4" xfId="10596" xr:uid="{2B3E0C53-4AC2-4C3B-8F95-3DF15ABDC379}"/>
    <cellStyle name="20% - Accent3 2 2 2 4" xfId="1417" xr:uid="{00000000-0005-0000-0000-0000B0050000}"/>
    <cellStyle name="20% - Accent3 2 2 2 4 2" xfId="3647" xr:uid="{00000000-0005-0000-0000-0000660E0000}"/>
    <cellStyle name="20% - Accent3 2 2 2 4 2 2" xfId="7869" xr:uid="{00000000-0005-0000-0000-0000E41E0000}"/>
    <cellStyle name="20% - Accent3 2 2 2 4 2 2 2" xfId="17460" xr:uid="{95E85940-15FA-4290-812C-1B9D9D78BE89}"/>
    <cellStyle name="20% - Accent3 2 2 2 4 2 3" xfId="13239" xr:uid="{CD9F67C7-7456-41E2-9EE3-18D62A00F9A5}"/>
    <cellStyle name="20% - Accent3 2 2 2 4 3" xfId="5724" xr:uid="{00000000-0005-0000-0000-000083160000}"/>
    <cellStyle name="20% - Accent3 2 2 2 4 3 2" xfId="15315" xr:uid="{AA59C40E-5527-4136-B330-3EB9C8C62927}"/>
    <cellStyle name="20% - Accent3 2 2 2 4 4" xfId="11010" xr:uid="{BDA0DABA-6BE1-43CF-8C16-14F36B195E86}"/>
    <cellStyle name="20% - Accent3 2 2 2 5" xfId="1831" xr:uid="{00000000-0005-0000-0000-00004E070000}"/>
    <cellStyle name="20% - Accent3 2 2 2 5 2" xfId="4060" xr:uid="{00000000-0005-0000-0000-000003100000}"/>
    <cellStyle name="20% - Accent3 2 2 2 5 2 2" xfId="8282" xr:uid="{00000000-0005-0000-0000-000081200000}"/>
    <cellStyle name="20% - Accent3 2 2 2 5 2 2 2" xfId="17873" xr:uid="{966A779A-0E82-4B7D-B2CF-16F194B1B901}"/>
    <cellStyle name="20% - Accent3 2 2 2 5 2 3" xfId="13652" xr:uid="{F3154A21-2B66-4CD0-92C6-0B08EBBBE33C}"/>
    <cellStyle name="20% - Accent3 2 2 2 5 3" xfId="6137" xr:uid="{00000000-0005-0000-0000-000020180000}"/>
    <cellStyle name="20% - Accent3 2 2 2 5 3 2" xfId="15728" xr:uid="{53F5FA83-7DB1-4B40-BE5A-6E973AD0230E}"/>
    <cellStyle name="20% - Accent3 2 2 2 5 4" xfId="11423" xr:uid="{37B5D38B-732E-4CE8-AAB0-BABB0F0C69B0}"/>
    <cellStyle name="20% - Accent3 2 2 2 6" xfId="2244" xr:uid="{00000000-0005-0000-0000-0000EB080000}"/>
    <cellStyle name="20% - Accent3 2 2 2 6 2" xfId="6550" xr:uid="{00000000-0005-0000-0000-0000BD190000}"/>
    <cellStyle name="20% - Accent3 2 2 2 6 2 2" xfId="16141" xr:uid="{592343A0-20A7-4A34-B70A-40E509DBE7E6}"/>
    <cellStyle name="20% - Accent3 2 2 2 6 3" xfId="11836" xr:uid="{FB394322-C163-4E90-8CE6-B800E9DFE74D}"/>
    <cellStyle name="20% - Accent3 2 2 2 7" xfId="4484" xr:uid="{00000000-0005-0000-0000-0000AB110000}"/>
    <cellStyle name="20% - Accent3 2 2 2 7 2" xfId="14075" xr:uid="{5EC4C0D5-9E3E-4F17-B5AB-121167308D97}"/>
    <cellStyle name="20% - Accent3 2 2 2 8" xfId="9063" xr:uid="{00000000-0005-0000-0000-00008E230000}"/>
    <cellStyle name="20% - Accent3 2 2 2 9" xfId="9623" xr:uid="{A3522290-ED06-4BB5-8EE8-6162BEC6CB45}"/>
    <cellStyle name="20% - Accent3 2 2 3" xfId="549" xr:uid="{00000000-0005-0000-0000-00004C020000}"/>
    <cellStyle name="20% - Accent3 2 2 3 2" xfId="2820" xr:uid="{00000000-0005-0000-0000-00002B0B0000}"/>
    <cellStyle name="20% - Accent3 2 2 3 2 2" xfId="7042" xr:uid="{00000000-0005-0000-0000-0000A91B0000}"/>
    <cellStyle name="20% - Accent3 2 2 3 2 2 2" xfId="16633" xr:uid="{AFF53B48-547D-4B55-A428-4FA37DE63424}"/>
    <cellStyle name="20% - Accent3 2 2 3 2 3" xfId="12412" xr:uid="{FD4E9990-9766-4332-B0FA-7453C1C77AF6}"/>
    <cellStyle name="20% - Accent3 2 2 3 3" xfId="4897" xr:uid="{00000000-0005-0000-0000-000048130000}"/>
    <cellStyle name="20% - Accent3 2 2 3 3 2" xfId="14488" xr:uid="{5D402584-419C-4282-9533-8721C9987F89}"/>
    <cellStyle name="20% - Accent3 2 2 3 4" xfId="9281" xr:uid="{00000000-0005-0000-0000-000068240000}"/>
    <cellStyle name="20% - Accent3 2 2 3 5" xfId="10142" xr:uid="{4A34F825-66E6-49F8-8D32-A3B7F0272916}"/>
    <cellStyle name="20% - Accent3 2 2 4" xfId="1002" xr:uid="{00000000-0005-0000-0000-000011040000}"/>
    <cellStyle name="20% - Accent3 2 2 4 2" xfId="3233" xr:uid="{00000000-0005-0000-0000-0000C80C0000}"/>
    <cellStyle name="20% - Accent3 2 2 4 2 2" xfId="7455" xr:uid="{00000000-0005-0000-0000-0000461D0000}"/>
    <cellStyle name="20% - Accent3 2 2 4 2 2 2" xfId="17046" xr:uid="{67D13D1A-738A-4913-AC84-8633E6DD1B05}"/>
    <cellStyle name="20% - Accent3 2 2 4 2 3" xfId="12825" xr:uid="{A5828FC3-0B4C-4C8F-8713-BF61D6C3E7EC}"/>
    <cellStyle name="20% - Accent3 2 2 4 3" xfId="5310" xr:uid="{00000000-0005-0000-0000-0000E5140000}"/>
    <cellStyle name="20% - Accent3 2 2 4 3 2" xfId="14901" xr:uid="{11345B81-522F-442E-9199-DBDA9CFA0E7C}"/>
    <cellStyle name="20% - Accent3 2 2 4 4" xfId="10595" xr:uid="{F040A1F1-BC30-416A-990B-964B4857BC8A}"/>
    <cellStyle name="20% - Accent3 2 2 5" xfId="1416" xr:uid="{00000000-0005-0000-0000-0000AF050000}"/>
    <cellStyle name="20% - Accent3 2 2 5 2" xfId="3646" xr:uid="{00000000-0005-0000-0000-0000650E0000}"/>
    <cellStyle name="20% - Accent3 2 2 5 2 2" xfId="7868" xr:uid="{00000000-0005-0000-0000-0000E31E0000}"/>
    <cellStyle name="20% - Accent3 2 2 5 2 2 2" xfId="17459" xr:uid="{77328AE9-AB07-4217-A063-009E9DB01270}"/>
    <cellStyle name="20% - Accent3 2 2 5 2 3" xfId="13238" xr:uid="{D248CEC5-0D5C-4DD8-BEC3-F99C810F82DB}"/>
    <cellStyle name="20% - Accent3 2 2 5 3" xfId="5723" xr:uid="{00000000-0005-0000-0000-000082160000}"/>
    <cellStyle name="20% - Accent3 2 2 5 3 2" xfId="15314" xr:uid="{9525B589-068C-4D49-82F1-EFEFFF558A17}"/>
    <cellStyle name="20% - Accent3 2 2 5 4" xfId="11009" xr:uid="{E20B406B-0D19-4AED-93C0-CD042A512F51}"/>
    <cellStyle name="20% - Accent3 2 2 6" xfId="1830" xr:uid="{00000000-0005-0000-0000-00004D070000}"/>
    <cellStyle name="20% - Accent3 2 2 6 2" xfId="4059" xr:uid="{00000000-0005-0000-0000-000002100000}"/>
    <cellStyle name="20% - Accent3 2 2 6 2 2" xfId="8281" xr:uid="{00000000-0005-0000-0000-000080200000}"/>
    <cellStyle name="20% - Accent3 2 2 6 2 2 2" xfId="17872" xr:uid="{77C43BA1-8FA7-42F9-B2DA-496780A290DC}"/>
    <cellStyle name="20% - Accent3 2 2 6 2 3" xfId="13651" xr:uid="{321761FD-32CE-4FC4-B2CD-2C00D7E1786B}"/>
    <cellStyle name="20% - Accent3 2 2 6 3" xfId="6136" xr:uid="{00000000-0005-0000-0000-00001F180000}"/>
    <cellStyle name="20% - Accent3 2 2 6 3 2" xfId="15727" xr:uid="{50606BAA-493D-4A99-A970-4FC1F2E1F3A5}"/>
    <cellStyle name="20% - Accent3 2 2 6 4" xfId="11422" xr:uid="{B956832F-87CD-481A-BCF0-E10B6A12C18A}"/>
    <cellStyle name="20% - Accent3 2 2 7" xfId="2243" xr:uid="{00000000-0005-0000-0000-0000EA080000}"/>
    <cellStyle name="20% - Accent3 2 2 7 2" xfId="6549" xr:uid="{00000000-0005-0000-0000-0000BC190000}"/>
    <cellStyle name="20% - Accent3 2 2 7 2 2" xfId="16140" xr:uid="{DC855D25-718D-40E0-AD39-3E363588769F}"/>
    <cellStyle name="20% - Accent3 2 2 7 3" xfId="11835" xr:uid="{C5B03ACD-C061-4C3C-AC46-8F7BC783EF1C}"/>
    <cellStyle name="20% - Accent3 2 2 8" xfId="4483" xr:uid="{00000000-0005-0000-0000-0000AA110000}"/>
    <cellStyle name="20% - Accent3 2 2 8 2" xfId="14074" xr:uid="{E160BB73-527D-4D18-99EC-7ADD05D13C4D}"/>
    <cellStyle name="20% - Accent3 2 2 9" xfId="8856" xr:uid="{00000000-0005-0000-0000-0000BF220000}"/>
    <cellStyle name="20% - Accent3 2 3" xfId="18" xr:uid="{00000000-0005-0000-0000-000015000000}"/>
    <cellStyle name="20% - Accent3 2 3 2" xfId="551" xr:uid="{00000000-0005-0000-0000-00004E020000}"/>
    <cellStyle name="20% - Accent3 2 3 2 2" xfId="2822" xr:uid="{00000000-0005-0000-0000-00002D0B0000}"/>
    <cellStyle name="20% - Accent3 2 3 2 2 2" xfId="7044" xr:uid="{00000000-0005-0000-0000-0000AB1B0000}"/>
    <cellStyle name="20% - Accent3 2 3 2 2 2 2" xfId="16635" xr:uid="{E89CEC9E-5CC1-4710-B3BC-F7153F88D8B7}"/>
    <cellStyle name="20% - Accent3 2 3 2 2 3" xfId="12414" xr:uid="{4BD12E22-6304-4CA2-B880-747B3EABA7E5}"/>
    <cellStyle name="20% - Accent3 2 3 2 3" xfId="4899" xr:uid="{00000000-0005-0000-0000-00004A130000}"/>
    <cellStyle name="20% - Accent3 2 3 2 3 2" xfId="14490" xr:uid="{1F9764CE-6404-482A-BEDE-F2C846CD3C1F}"/>
    <cellStyle name="20% - Accent3 2 3 2 4" xfId="9385" xr:uid="{00000000-0005-0000-0000-0000D0240000}"/>
    <cellStyle name="20% - Accent3 2 3 2 5" xfId="10144" xr:uid="{41E438FF-03AB-449C-A676-44C8A7BE3940}"/>
    <cellStyle name="20% - Accent3 2 3 3" xfId="1004" xr:uid="{00000000-0005-0000-0000-000013040000}"/>
    <cellStyle name="20% - Accent3 2 3 3 2" xfId="3235" xr:uid="{00000000-0005-0000-0000-0000CA0C0000}"/>
    <cellStyle name="20% - Accent3 2 3 3 2 2" xfId="7457" xr:uid="{00000000-0005-0000-0000-0000481D0000}"/>
    <cellStyle name="20% - Accent3 2 3 3 2 2 2" xfId="17048" xr:uid="{CB11DDB3-776B-4FEC-8111-0A973129A239}"/>
    <cellStyle name="20% - Accent3 2 3 3 2 3" xfId="12827" xr:uid="{F601F934-D068-40E4-8664-A744629AB149}"/>
    <cellStyle name="20% - Accent3 2 3 3 3" xfId="5312" xr:uid="{00000000-0005-0000-0000-0000E7140000}"/>
    <cellStyle name="20% - Accent3 2 3 3 3 2" xfId="14903" xr:uid="{68219F9A-C503-42F2-8EF7-4F342C65C4F8}"/>
    <cellStyle name="20% - Accent3 2 3 3 4" xfId="10597" xr:uid="{C3A885FD-7C16-481A-8FC9-9B6D2D5405CD}"/>
    <cellStyle name="20% - Accent3 2 3 4" xfId="1418" xr:uid="{00000000-0005-0000-0000-0000B1050000}"/>
    <cellStyle name="20% - Accent3 2 3 4 2" xfId="3648" xr:uid="{00000000-0005-0000-0000-0000670E0000}"/>
    <cellStyle name="20% - Accent3 2 3 4 2 2" xfId="7870" xr:uid="{00000000-0005-0000-0000-0000E51E0000}"/>
    <cellStyle name="20% - Accent3 2 3 4 2 2 2" xfId="17461" xr:uid="{5DFCD2F6-9BFA-4A4E-BF6E-A26711700560}"/>
    <cellStyle name="20% - Accent3 2 3 4 2 3" xfId="13240" xr:uid="{0AB41648-562F-41F6-A9FC-DC851722317D}"/>
    <cellStyle name="20% - Accent3 2 3 4 3" xfId="5725" xr:uid="{00000000-0005-0000-0000-000084160000}"/>
    <cellStyle name="20% - Accent3 2 3 4 3 2" xfId="15316" xr:uid="{99F1F0F6-AD00-420D-86A0-98EE1D3BD6BE}"/>
    <cellStyle name="20% - Accent3 2 3 4 4" xfId="11011" xr:uid="{C181CE68-7F67-4461-A866-AA91BBBA75CA}"/>
    <cellStyle name="20% - Accent3 2 3 5" xfId="1832" xr:uid="{00000000-0005-0000-0000-00004F070000}"/>
    <cellStyle name="20% - Accent3 2 3 5 2" xfId="4061" xr:uid="{00000000-0005-0000-0000-000004100000}"/>
    <cellStyle name="20% - Accent3 2 3 5 2 2" xfId="8283" xr:uid="{00000000-0005-0000-0000-000082200000}"/>
    <cellStyle name="20% - Accent3 2 3 5 2 2 2" xfId="17874" xr:uid="{465794D5-DCB3-4EBA-A13E-EB462E214622}"/>
    <cellStyle name="20% - Accent3 2 3 5 2 3" xfId="13653" xr:uid="{DD3AD86F-07EC-453D-8B74-F81AD29ABD2D}"/>
    <cellStyle name="20% - Accent3 2 3 5 3" xfId="6138" xr:uid="{00000000-0005-0000-0000-000021180000}"/>
    <cellStyle name="20% - Accent3 2 3 5 3 2" xfId="15729" xr:uid="{BC070AF6-EEFB-41D8-A292-B300D827DE42}"/>
    <cellStyle name="20% - Accent3 2 3 5 4" xfId="11424" xr:uid="{3278E314-15C2-4105-BCEB-CFD3BB182331}"/>
    <cellStyle name="20% - Accent3 2 3 6" xfId="2245" xr:uid="{00000000-0005-0000-0000-0000EC080000}"/>
    <cellStyle name="20% - Accent3 2 3 6 2" xfId="6551" xr:uid="{00000000-0005-0000-0000-0000BE190000}"/>
    <cellStyle name="20% - Accent3 2 3 6 2 2" xfId="16142" xr:uid="{58A4B6BB-AB6D-4620-BA85-8F85CED2D0D1}"/>
    <cellStyle name="20% - Accent3 2 3 6 3" xfId="11837" xr:uid="{DC542551-647C-45D7-8F83-66601CE1BC85}"/>
    <cellStyle name="20% - Accent3 2 3 7" xfId="4485" xr:uid="{00000000-0005-0000-0000-0000AC110000}"/>
    <cellStyle name="20% - Accent3 2 3 7 2" xfId="14076" xr:uid="{6F2B47CF-665A-4470-9D7D-14F3C88C5AE6}"/>
    <cellStyle name="20% - Accent3 2 3 8" xfId="8960" xr:uid="{00000000-0005-0000-0000-000027230000}"/>
    <cellStyle name="20% - Accent3 2 3 9" xfId="9624" xr:uid="{3ED4F239-5165-4CBB-8AA1-AD7DC4A3DFD0}"/>
    <cellStyle name="20% - Accent3 2 4" xfId="548" xr:uid="{00000000-0005-0000-0000-00004B020000}"/>
    <cellStyle name="20% - Accent3 2 4 2" xfId="2819" xr:uid="{00000000-0005-0000-0000-00002A0B0000}"/>
    <cellStyle name="20% - Accent3 2 4 2 2" xfId="7041" xr:uid="{00000000-0005-0000-0000-0000A81B0000}"/>
    <cellStyle name="20% - Accent3 2 4 2 2 2" xfId="16632" xr:uid="{30071FE7-88F0-4820-B231-5CACCBE984BA}"/>
    <cellStyle name="20% - Accent3 2 4 2 3" xfId="12411" xr:uid="{71315E87-1F46-4E4F-A3E0-0D05819BFE84}"/>
    <cellStyle name="20% - Accent3 2 4 3" xfId="4896" xr:uid="{00000000-0005-0000-0000-000047130000}"/>
    <cellStyle name="20% - Accent3 2 4 3 2" xfId="14487" xr:uid="{840461FA-A6A1-4EC4-B6FC-8E49A78D1DFD}"/>
    <cellStyle name="20% - Accent3 2 4 4" xfId="9177" xr:uid="{00000000-0005-0000-0000-000000240000}"/>
    <cellStyle name="20% - Accent3 2 4 5" xfId="10141" xr:uid="{FE3779B9-9540-437A-BC01-D198F6ED0002}"/>
    <cellStyle name="20% - Accent3 2 5" xfId="1001" xr:uid="{00000000-0005-0000-0000-000010040000}"/>
    <cellStyle name="20% - Accent3 2 5 2" xfId="3232" xr:uid="{00000000-0005-0000-0000-0000C70C0000}"/>
    <cellStyle name="20% - Accent3 2 5 2 2" xfId="7454" xr:uid="{00000000-0005-0000-0000-0000451D0000}"/>
    <cellStyle name="20% - Accent3 2 5 2 2 2" xfId="17045" xr:uid="{F17255FA-7379-4BD6-BE53-C5D2D78BB77B}"/>
    <cellStyle name="20% - Accent3 2 5 2 3" xfId="12824" xr:uid="{B799D49D-8EDF-46F7-87C2-80C52250DC1B}"/>
    <cellStyle name="20% - Accent3 2 5 3" xfId="5309" xr:uid="{00000000-0005-0000-0000-0000E4140000}"/>
    <cellStyle name="20% - Accent3 2 5 3 2" xfId="14900" xr:uid="{8FDECFA4-8B6E-4DC9-B0D2-BFC07BF52226}"/>
    <cellStyle name="20% - Accent3 2 5 4" xfId="10594" xr:uid="{429016CC-DCE5-40C1-BD5C-B9CBE6B5518F}"/>
    <cellStyle name="20% - Accent3 2 6" xfId="1415" xr:uid="{00000000-0005-0000-0000-0000AE050000}"/>
    <cellStyle name="20% - Accent3 2 6 2" xfId="3645" xr:uid="{00000000-0005-0000-0000-0000640E0000}"/>
    <cellStyle name="20% - Accent3 2 6 2 2" xfId="7867" xr:uid="{00000000-0005-0000-0000-0000E21E0000}"/>
    <cellStyle name="20% - Accent3 2 6 2 2 2" xfId="17458" xr:uid="{20828D9C-97FC-4438-94EB-559581DDFDF1}"/>
    <cellStyle name="20% - Accent3 2 6 2 3" xfId="13237" xr:uid="{0E516E78-73AA-40FE-B960-F7E7DCECF86B}"/>
    <cellStyle name="20% - Accent3 2 6 3" xfId="5722" xr:uid="{00000000-0005-0000-0000-000081160000}"/>
    <cellStyle name="20% - Accent3 2 6 3 2" xfId="15313" xr:uid="{0B12E8F9-AABC-4DDB-87C9-5090D520ED8B}"/>
    <cellStyle name="20% - Accent3 2 6 4" xfId="11008" xr:uid="{7B1AE4FD-35C6-4753-BCE8-703826ED3773}"/>
    <cellStyle name="20% - Accent3 2 7" xfId="1829" xr:uid="{00000000-0005-0000-0000-00004C070000}"/>
    <cellStyle name="20% - Accent3 2 7 2" xfId="4058" xr:uid="{00000000-0005-0000-0000-000001100000}"/>
    <cellStyle name="20% - Accent3 2 7 2 2" xfId="8280" xr:uid="{00000000-0005-0000-0000-00007F200000}"/>
    <cellStyle name="20% - Accent3 2 7 2 2 2" xfId="17871" xr:uid="{112AADA1-B617-4C37-B2E1-742FA5CC849C}"/>
    <cellStyle name="20% - Accent3 2 7 2 3" xfId="13650" xr:uid="{38777E77-BF5F-4B12-9A49-9FB47B1853B6}"/>
    <cellStyle name="20% - Accent3 2 7 3" xfId="6135" xr:uid="{00000000-0005-0000-0000-00001E180000}"/>
    <cellStyle name="20% - Accent3 2 7 3 2" xfId="15726" xr:uid="{9EF9D7BA-C7BB-4118-8E8F-2D5197D24F2C}"/>
    <cellStyle name="20% - Accent3 2 7 4" xfId="11421" xr:uid="{8D74D12C-62B2-4592-8A31-FADC917F86B2}"/>
    <cellStyle name="20% - Accent3 2 8" xfId="2242" xr:uid="{00000000-0005-0000-0000-0000E9080000}"/>
    <cellStyle name="20% - Accent3 2 8 2" xfId="6548" xr:uid="{00000000-0005-0000-0000-0000BB190000}"/>
    <cellStyle name="20% - Accent3 2 8 2 2" xfId="16139" xr:uid="{1CF589C3-75E5-4C2E-8C20-1B24699CF399}"/>
    <cellStyle name="20% - Accent3 2 8 3" xfId="11834" xr:uid="{B33EA32B-7839-464B-8DE4-7CF976CC95F1}"/>
    <cellStyle name="20% - Accent3 2 9" xfId="4482" xr:uid="{00000000-0005-0000-0000-0000A9110000}"/>
    <cellStyle name="20% - Accent3 2 9 2" xfId="14073" xr:uid="{FA81719C-4480-4CB3-9A9C-BED565561435}"/>
    <cellStyle name="20% - Accent3 3" xfId="19" xr:uid="{00000000-0005-0000-0000-000016000000}"/>
    <cellStyle name="20% - Accent3 3 10" xfId="9625" xr:uid="{7B1975D7-F2BC-4C98-A809-177DA273EB7E}"/>
    <cellStyle name="20% - Accent3 3 2" xfId="20" xr:uid="{00000000-0005-0000-0000-000017000000}"/>
    <cellStyle name="20% - Accent3 3 2 2" xfId="553" xr:uid="{00000000-0005-0000-0000-000050020000}"/>
    <cellStyle name="20% - Accent3 3 2 2 2" xfId="2824" xr:uid="{00000000-0005-0000-0000-00002F0B0000}"/>
    <cellStyle name="20% - Accent3 3 2 2 2 2" xfId="7046" xr:uid="{00000000-0005-0000-0000-0000AD1B0000}"/>
    <cellStyle name="20% - Accent3 3 2 2 2 2 2" xfId="16637" xr:uid="{18714480-248D-4589-8610-D6D71BF39CB1}"/>
    <cellStyle name="20% - Accent3 3 2 2 2 3" xfId="12416" xr:uid="{646F251B-D048-4EE8-9FDC-E01030B9A248}"/>
    <cellStyle name="20% - Accent3 3 2 2 3" xfId="4901" xr:uid="{00000000-0005-0000-0000-00004C130000}"/>
    <cellStyle name="20% - Accent3 3 2 2 3 2" xfId="14492" xr:uid="{E70C6228-31DC-40DB-8CCB-D8DF06B07978}"/>
    <cellStyle name="20% - Accent3 3 2 2 4" xfId="9458" xr:uid="{00000000-0005-0000-0000-000019250000}"/>
    <cellStyle name="20% - Accent3 3 2 2 5" xfId="10146" xr:uid="{2A9B29F8-1F94-4881-8392-4770194470B1}"/>
    <cellStyle name="20% - Accent3 3 2 3" xfId="1006" xr:uid="{00000000-0005-0000-0000-000015040000}"/>
    <cellStyle name="20% - Accent3 3 2 3 2" xfId="3237" xr:uid="{00000000-0005-0000-0000-0000CC0C0000}"/>
    <cellStyle name="20% - Accent3 3 2 3 2 2" xfId="7459" xr:uid="{00000000-0005-0000-0000-00004A1D0000}"/>
    <cellStyle name="20% - Accent3 3 2 3 2 2 2" xfId="17050" xr:uid="{11404D7E-2A69-4CEC-B3C9-93633C15EBE6}"/>
    <cellStyle name="20% - Accent3 3 2 3 2 3" xfId="12829" xr:uid="{FD4EE85E-03B5-4027-8306-C443888B9124}"/>
    <cellStyle name="20% - Accent3 3 2 3 3" xfId="5314" xr:uid="{00000000-0005-0000-0000-0000E9140000}"/>
    <cellStyle name="20% - Accent3 3 2 3 3 2" xfId="14905" xr:uid="{7109D2D8-9903-47B0-BFA7-8C7AFFE437B6}"/>
    <cellStyle name="20% - Accent3 3 2 3 4" xfId="10599" xr:uid="{5B07E68F-797C-47BA-BAA1-B404F34A287A}"/>
    <cellStyle name="20% - Accent3 3 2 4" xfId="1420" xr:uid="{00000000-0005-0000-0000-0000B3050000}"/>
    <cellStyle name="20% - Accent3 3 2 4 2" xfId="3650" xr:uid="{00000000-0005-0000-0000-0000690E0000}"/>
    <cellStyle name="20% - Accent3 3 2 4 2 2" xfId="7872" xr:uid="{00000000-0005-0000-0000-0000E71E0000}"/>
    <cellStyle name="20% - Accent3 3 2 4 2 2 2" xfId="17463" xr:uid="{37880886-D633-4F8D-A17E-B3AF463A8C11}"/>
    <cellStyle name="20% - Accent3 3 2 4 2 3" xfId="13242" xr:uid="{854169C6-1E27-4C1C-A364-FD07187F5C46}"/>
    <cellStyle name="20% - Accent3 3 2 4 3" xfId="5727" xr:uid="{00000000-0005-0000-0000-000086160000}"/>
    <cellStyle name="20% - Accent3 3 2 4 3 2" xfId="15318" xr:uid="{51A5EEAB-1F84-4970-9F6F-3ADFA3153A95}"/>
    <cellStyle name="20% - Accent3 3 2 4 4" xfId="11013" xr:uid="{84BB3505-56A4-436D-975F-319B203831FD}"/>
    <cellStyle name="20% - Accent3 3 2 5" xfId="1834" xr:uid="{00000000-0005-0000-0000-000051070000}"/>
    <cellStyle name="20% - Accent3 3 2 5 2" xfId="4063" xr:uid="{00000000-0005-0000-0000-000006100000}"/>
    <cellStyle name="20% - Accent3 3 2 5 2 2" xfId="8285" xr:uid="{00000000-0005-0000-0000-000084200000}"/>
    <cellStyle name="20% - Accent3 3 2 5 2 2 2" xfId="17876" xr:uid="{E8C5CE4E-0980-4A03-9062-4E337C020FAC}"/>
    <cellStyle name="20% - Accent3 3 2 5 2 3" xfId="13655" xr:uid="{37FC71D2-975E-417C-8539-5521EB19DF1F}"/>
    <cellStyle name="20% - Accent3 3 2 5 3" xfId="6140" xr:uid="{00000000-0005-0000-0000-000023180000}"/>
    <cellStyle name="20% - Accent3 3 2 5 3 2" xfId="15731" xr:uid="{7F84C3E2-AC0A-4453-8CF2-842B3B18D9C4}"/>
    <cellStyle name="20% - Accent3 3 2 5 4" xfId="11426" xr:uid="{1E8E0D3D-A0EB-4B34-A882-A5F163876A0B}"/>
    <cellStyle name="20% - Accent3 3 2 6" xfId="2247" xr:uid="{00000000-0005-0000-0000-0000EE080000}"/>
    <cellStyle name="20% - Accent3 3 2 6 2" xfId="6553" xr:uid="{00000000-0005-0000-0000-0000C0190000}"/>
    <cellStyle name="20% - Accent3 3 2 6 2 2" xfId="16144" xr:uid="{0FA8BB41-CE25-454C-8739-06ADA76545F3}"/>
    <cellStyle name="20% - Accent3 3 2 6 3" xfId="11839" xr:uid="{16082493-70BA-463F-BFB0-04682267CBAB}"/>
    <cellStyle name="20% - Accent3 3 2 7" xfId="4487" xr:uid="{00000000-0005-0000-0000-0000AE110000}"/>
    <cellStyle name="20% - Accent3 3 2 7 2" xfId="14078" xr:uid="{62CBAE33-4585-44D5-8316-B33D586DF36D}"/>
    <cellStyle name="20% - Accent3 3 2 8" xfId="9033" xr:uid="{00000000-0005-0000-0000-000070230000}"/>
    <cellStyle name="20% - Accent3 3 2 9" xfId="9626" xr:uid="{AA83AA1E-F9B9-4E4C-A918-86F02FCB5E37}"/>
    <cellStyle name="20% - Accent3 3 3" xfId="552" xr:uid="{00000000-0005-0000-0000-00004F020000}"/>
    <cellStyle name="20% - Accent3 3 3 2" xfId="2823" xr:uid="{00000000-0005-0000-0000-00002E0B0000}"/>
    <cellStyle name="20% - Accent3 3 3 2 2" xfId="7045" xr:uid="{00000000-0005-0000-0000-0000AC1B0000}"/>
    <cellStyle name="20% - Accent3 3 3 2 2 2" xfId="16636" xr:uid="{2B2121E9-13AE-455D-8437-A9971968878F}"/>
    <cellStyle name="20% - Accent3 3 3 2 3" xfId="12415" xr:uid="{CC8AFC76-B18F-4DA9-BC40-47182866C0DA}"/>
    <cellStyle name="20% - Accent3 3 3 3" xfId="4900" xr:uid="{00000000-0005-0000-0000-00004B130000}"/>
    <cellStyle name="20% - Accent3 3 3 3 2" xfId="14491" xr:uid="{C9680110-C1F4-4E93-81A4-7450E183A6A8}"/>
    <cellStyle name="20% - Accent3 3 3 4" xfId="9251" xr:uid="{00000000-0005-0000-0000-00004A240000}"/>
    <cellStyle name="20% - Accent3 3 3 5" xfId="10145" xr:uid="{0E1F61FA-0D71-4941-B7A3-A39A21E41FB0}"/>
    <cellStyle name="20% - Accent3 3 4" xfId="1005" xr:uid="{00000000-0005-0000-0000-000014040000}"/>
    <cellStyle name="20% - Accent3 3 4 2" xfId="3236" xr:uid="{00000000-0005-0000-0000-0000CB0C0000}"/>
    <cellStyle name="20% - Accent3 3 4 2 2" xfId="7458" xr:uid="{00000000-0005-0000-0000-0000491D0000}"/>
    <cellStyle name="20% - Accent3 3 4 2 2 2" xfId="17049" xr:uid="{50F63D22-B4F4-4F90-BEBB-6A3DB0E24048}"/>
    <cellStyle name="20% - Accent3 3 4 2 3" xfId="12828" xr:uid="{930318E7-3148-4734-BC67-03A054B81E3C}"/>
    <cellStyle name="20% - Accent3 3 4 3" xfId="5313" xr:uid="{00000000-0005-0000-0000-0000E8140000}"/>
    <cellStyle name="20% - Accent3 3 4 3 2" xfId="14904" xr:uid="{2182F6C4-294A-4D34-87C1-0A6174D89962}"/>
    <cellStyle name="20% - Accent3 3 4 4" xfId="10598" xr:uid="{925F501D-4BC4-4F75-88F3-F4D50A2B328F}"/>
    <cellStyle name="20% - Accent3 3 5" xfId="1419" xr:uid="{00000000-0005-0000-0000-0000B2050000}"/>
    <cellStyle name="20% - Accent3 3 5 2" xfId="3649" xr:uid="{00000000-0005-0000-0000-0000680E0000}"/>
    <cellStyle name="20% - Accent3 3 5 2 2" xfId="7871" xr:uid="{00000000-0005-0000-0000-0000E61E0000}"/>
    <cellStyle name="20% - Accent3 3 5 2 2 2" xfId="17462" xr:uid="{11F79ED7-9AAC-4780-90AF-56714E37B0B4}"/>
    <cellStyle name="20% - Accent3 3 5 2 3" xfId="13241" xr:uid="{92EEE137-A88E-48D3-9F0C-D3B3C3680D38}"/>
    <cellStyle name="20% - Accent3 3 5 3" xfId="5726" xr:uid="{00000000-0005-0000-0000-000085160000}"/>
    <cellStyle name="20% - Accent3 3 5 3 2" xfId="15317" xr:uid="{CF6F9CBA-5225-4C60-8EE0-26E2614E9AC6}"/>
    <cellStyle name="20% - Accent3 3 5 4" xfId="11012" xr:uid="{D2694170-5A05-49D1-84D3-B5B7B8244CBF}"/>
    <cellStyle name="20% - Accent3 3 6" xfId="1833" xr:uid="{00000000-0005-0000-0000-000050070000}"/>
    <cellStyle name="20% - Accent3 3 6 2" xfId="4062" xr:uid="{00000000-0005-0000-0000-000005100000}"/>
    <cellStyle name="20% - Accent3 3 6 2 2" xfId="8284" xr:uid="{00000000-0005-0000-0000-000083200000}"/>
    <cellStyle name="20% - Accent3 3 6 2 2 2" xfId="17875" xr:uid="{C94835F7-B6B7-40CE-AB4B-8DBE9645F322}"/>
    <cellStyle name="20% - Accent3 3 6 2 3" xfId="13654" xr:uid="{1744AD46-787C-45EA-9CB1-109CD38D3E07}"/>
    <cellStyle name="20% - Accent3 3 6 3" xfId="6139" xr:uid="{00000000-0005-0000-0000-000022180000}"/>
    <cellStyle name="20% - Accent3 3 6 3 2" xfId="15730" xr:uid="{36F75304-4F77-4450-8999-CC344547E417}"/>
    <cellStyle name="20% - Accent3 3 6 4" xfId="11425" xr:uid="{6E866472-5BC0-42A6-86FA-3AE7844AF0AE}"/>
    <cellStyle name="20% - Accent3 3 7" xfId="2246" xr:uid="{00000000-0005-0000-0000-0000ED080000}"/>
    <cellStyle name="20% - Accent3 3 7 2" xfId="6552" xr:uid="{00000000-0005-0000-0000-0000BF190000}"/>
    <cellStyle name="20% - Accent3 3 7 2 2" xfId="16143" xr:uid="{3DFCBF62-01DA-4C64-915B-C7DB92A186AA}"/>
    <cellStyle name="20% - Accent3 3 7 3" xfId="11838" xr:uid="{61B49B73-C13B-4511-82FB-6D995561ECB9}"/>
    <cellStyle name="20% - Accent3 3 8" xfId="4486" xr:uid="{00000000-0005-0000-0000-0000AD110000}"/>
    <cellStyle name="20% - Accent3 3 8 2" xfId="14077" xr:uid="{B1D1AA84-66D0-4EBB-928E-67780DE5E012}"/>
    <cellStyle name="20% - Accent3 3 9" xfId="8826" xr:uid="{00000000-0005-0000-0000-0000A1220000}"/>
    <cellStyle name="20% - Accent3 4" xfId="21" xr:uid="{00000000-0005-0000-0000-000018000000}"/>
    <cellStyle name="20% - Accent3 4 2" xfId="554" xr:uid="{00000000-0005-0000-0000-000051020000}"/>
    <cellStyle name="20% - Accent3 4 2 2" xfId="2825" xr:uid="{00000000-0005-0000-0000-0000300B0000}"/>
    <cellStyle name="20% - Accent3 4 2 2 2" xfId="7047" xr:uid="{00000000-0005-0000-0000-0000AE1B0000}"/>
    <cellStyle name="20% - Accent3 4 2 2 2 2" xfId="16638" xr:uid="{3A9A27F8-F81C-4F7B-B41F-0CD28C85C6B1}"/>
    <cellStyle name="20% - Accent3 4 2 2 3" xfId="12417" xr:uid="{7BCD367F-E496-4813-9263-2D5556C1E6A7}"/>
    <cellStyle name="20% - Accent3 4 2 3" xfId="4902" xr:uid="{00000000-0005-0000-0000-00004D130000}"/>
    <cellStyle name="20% - Accent3 4 2 3 2" xfId="14493" xr:uid="{C3D6227E-2635-4488-ADF0-22C0E8B809E7}"/>
    <cellStyle name="20% - Accent3 4 2 4" xfId="9337" xr:uid="{00000000-0005-0000-0000-0000A0240000}"/>
    <cellStyle name="20% - Accent3 4 2 5" xfId="10147" xr:uid="{7280A62A-2870-40FE-A818-9F4B896603F2}"/>
    <cellStyle name="20% - Accent3 4 3" xfId="1007" xr:uid="{00000000-0005-0000-0000-000016040000}"/>
    <cellStyle name="20% - Accent3 4 3 2" xfId="3238" xr:uid="{00000000-0005-0000-0000-0000CD0C0000}"/>
    <cellStyle name="20% - Accent3 4 3 2 2" xfId="7460" xr:uid="{00000000-0005-0000-0000-00004B1D0000}"/>
    <cellStyle name="20% - Accent3 4 3 2 2 2" xfId="17051" xr:uid="{18617669-2BD5-4BF2-B592-C0A51C18FF80}"/>
    <cellStyle name="20% - Accent3 4 3 2 3" xfId="12830" xr:uid="{B6E3CA6F-98E3-4D51-8D68-7E1BEC9F078E}"/>
    <cellStyle name="20% - Accent3 4 3 3" xfId="5315" xr:uid="{00000000-0005-0000-0000-0000EA140000}"/>
    <cellStyle name="20% - Accent3 4 3 3 2" xfId="14906" xr:uid="{7C7294D6-0D9C-465A-99F1-06FBCBC3A885}"/>
    <cellStyle name="20% - Accent3 4 3 4" xfId="10600" xr:uid="{F3BB8362-B091-4BF9-9493-BA62F0892040}"/>
    <cellStyle name="20% - Accent3 4 4" xfId="1421" xr:uid="{00000000-0005-0000-0000-0000B4050000}"/>
    <cellStyle name="20% - Accent3 4 4 2" xfId="3651" xr:uid="{00000000-0005-0000-0000-00006A0E0000}"/>
    <cellStyle name="20% - Accent3 4 4 2 2" xfId="7873" xr:uid="{00000000-0005-0000-0000-0000E81E0000}"/>
    <cellStyle name="20% - Accent3 4 4 2 2 2" xfId="17464" xr:uid="{F1F1C432-5D9F-44A7-9FF5-04E6521A18D8}"/>
    <cellStyle name="20% - Accent3 4 4 2 3" xfId="13243" xr:uid="{158F6B87-640F-433C-AC91-1C10CAB314E9}"/>
    <cellStyle name="20% - Accent3 4 4 3" xfId="5728" xr:uid="{00000000-0005-0000-0000-000087160000}"/>
    <cellStyle name="20% - Accent3 4 4 3 2" xfId="15319" xr:uid="{267D9E06-D169-4961-B45D-DC90768BD367}"/>
    <cellStyle name="20% - Accent3 4 4 4" xfId="11014" xr:uid="{EE2C752F-A8B2-4A4B-9C0D-81FFD81D498C}"/>
    <cellStyle name="20% - Accent3 4 5" xfId="1835" xr:uid="{00000000-0005-0000-0000-000052070000}"/>
    <cellStyle name="20% - Accent3 4 5 2" xfId="4064" xr:uid="{00000000-0005-0000-0000-000007100000}"/>
    <cellStyle name="20% - Accent3 4 5 2 2" xfId="8286" xr:uid="{00000000-0005-0000-0000-000085200000}"/>
    <cellStyle name="20% - Accent3 4 5 2 2 2" xfId="17877" xr:uid="{331E5D37-5378-4427-922B-55A349CAA571}"/>
    <cellStyle name="20% - Accent3 4 5 2 3" xfId="13656" xr:uid="{0DE27EB7-2872-47B4-B445-E63363ADF7D3}"/>
    <cellStyle name="20% - Accent3 4 5 3" xfId="6141" xr:uid="{00000000-0005-0000-0000-000024180000}"/>
    <cellStyle name="20% - Accent3 4 5 3 2" xfId="15732" xr:uid="{8272F550-ABB8-4AEA-B7D4-E80CE332C9EB}"/>
    <cellStyle name="20% - Accent3 4 5 4" xfId="11427" xr:uid="{90A7EE98-0885-4472-B4DE-23D3D6F39388}"/>
    <cellStyle name="20% - Accent3 4 6" xfId="2248" xr:uid="{00000000-0005-0000-0000-0000EF080000}"/>
    <cellStyle name="20% - Accent3 4 6 2" xfId="6554" xr:uid="{00000000-0005-0000-0000-0000C1190000}"/>
    <cellStyle name="20% - Accent3 4 6 2 2" xfId="16145" xr:uid="{D5C10DC8-2130-4BE6-9127-7253ADA36313}"/>
    <cellStyle name="20% - Accent3 4 6 3" xfId="11840" xr:uid="{2A3B7310-0B67-4EF6-AFC5-53BF9842C4AE}"/>
    <cellStyle name="20% - Accent3 4 7" xfId="4488" xr:uid="{00000000-0005-0000-0000-0000AF110000}"/>
    <cellStyle name="20% - Accent3 4 7 2" xfId="14079" xr:uid="{3B6B0921-89B4-4222-B64C-15ED2B30FB5C}"/>
    <cellStyle name="20% - Accent3 4 8" xfId="8912" xr:uid="{00000000-0005-0000-0000-0000F7220000}"/>
    <cellStyle name="20% - Accent3 4 9" xfId="9627" xr:uid="{AC28C309-A8EF-4AB5-9A5C-648BD3FD681C}"/>
    <cellStyle name="20% - Accent3 5" xfId="547" xr:uid="{00000000-0005-0000-0000-00004A020000}"/>
    <cellStyle name="20% - Accent3 5 2" xfId="2818" xr:uid="{00000000-0005-0000-0000-0000290B0000}"/>
    <cellStyle name="20% - Accent3 5 2 2" xfId="7040" xr:uid="{00000000-0005-0000-0000-0000A71B0000}"/>
    <cellStyle name="20% - Accent3 5 2 2 2" xfId="16631" xr:uid="{0310C6E6-D00C-4E00-BF98-F4DD2E78185F}"/>
    <cellStyle name="20% - Accent3 5 2 3" xfId="12410" xr:uid="{B94D4A28-AE1C-4EBB-AB5D-A933D9616F01}"/>
    <cellStyle name="20% - Accent3 5 3" xfId="4895" xr:uid="{00000000-0005-0000-0000-000046130000}"/>
    <cellStyle name="20% - Accent3 5 3 2" xfId="14486" xr:uid="{A64A9FB6-586B-41FD-BF7D-B37C80C17E82}"/>
    <cellStyle name="20% - Accent3 5 4" xfId="9145" xr:uid="{00000000-0005-0000-0000-0000E0230000}"/>
    <cellStyle name="20% - Accent3 5 5" xfId="10140" xr:uid="{895F9920-3C89-4D6F-957F-E71869A653F7}"/>
    <cellStyle name="20% - Accent3 6" xfId="1000" xr:uid="{00000000-0005-0000-0000-00000F040000}"/>
    <cellStyle name="20% - Accent3 6 2" xfId="3231" xr:uid="{00000000-0005-0000-0000-0000C60C0000}"/>
    <cellStyle name="20% - Accent3 6 2 2" xfId="7453" xr:uid="{00000000-0005-0000-0000-0000441D0000}"/>
    <cellStyle name="20% - Accent3 6 2 2 2" xfId="17044" xr:uid="{A7D0B583-1B05-437E-B502-1B23754C2112}"/>
    <cellStyle name="20% - Accent3 6 2 3" xfId="12823" xr:uid="{54DE3D65-579A-4BA9-96D0-E58AB1C1B5B0}"/>
    <cellStyle name="20% - Accent3 6 3" xfId="5308" xr:uid="{00000000-0005-0000-0000-0000E3140000}"/>
    <cellStyle name="20% - Accent3 6 3 2" xfId="14899" xr:uid="{A75551CD-3F24-4B36-8BCF-6FD257C0E7A0}"/>
    <cellStyle name="20% - Accent3 6 4" xfId="10593" xr:uid="{ADE0419E-6B74-4CFA-BF3C-1CAC173EF70B}"/>
    <cellStyle name="20% - Accent3 7" xfId="1414" xr:uid="{00000000-0005-0000-0000-0000AD050000}"/>
    <cellStyle name="20% - Accent3 7 2" xfId="3644" xr:uid="{00000000-0005-0000-0000-0000630E0000}"/>
    <cellStyle name="20% - Accent3 7 2 2" xfId="7866" xr:uid="{00000000-0005-0000-0000-0000E11E0000}"/>
    <cellStyle name="20% - Accent3 7 2 2 2" xfId="17457" xr:uid="{52BDCB2B-AFC9-45E8-A6EB-302B59ABBD33}"/>
    <cellStyle name="20% - Accent3 7 2 3" xfId="13236" xr:uid="{3639C3E6-5C3A-45B8-9985-4EAC95061F0D}"/>
    <cellStyle name="20% - Accent3 7 3" xfId="5721" xr:uid="{00000000-0005-0000-0000-000080160000}"/>
    <cellStyle name="20% - Accent3 7 3 2" xfId="15312" xr:uid="{03E1B868-AF56-4CA2-8FFD-0A27EC329594}"/>
    <cellStyle name="20% - Accent3 7 4" xfId="11007" xr:uid="{3B6554DC-87D6-4097-9764-9EEB0EC459AD}"/>
    <cellStyle name="20% - Accent3 8" xfId="1828" xr:uid="{00000000-0005-0000-0000-00004B070000}"/>
    <cellStyle name="20% - Accent3 8 2" xfId="4057" xr:uid="{00000000-0005-0000-0000-000000100000}"/>
    <cellStyle name="20% - Accent3 8 2 2" xfId="8279" xr:uid="{00000000-0005-0000-0000-00007E200000}"/>
    <cellStyle name="20% - Accent3 8 2 2 2" xfId="17870" xr:uid="{45E52B40-6399-4FE3-841F-984F248DBE9A}"/>
    <cellStyle name="20% - Accent3 8 2 3" xfId="13649" xr:uid="{8AA6D4A4-DBC1-4077-B410-A31DAF767E0A}"/>
    <cellStyle name="20% - Accent3 8 3" xfId="6134" xr:uid="{00000000-0005-0000-0000-00001D180000}"/>
    <cellStyle name="20% - Accent3 8 3 2" xfId="15725" xr:uid="{1E7FAB9E-0D07-4AE1-BE8A-4BFFEF9AA52C}"/>
    <cellStyle name="20% - Accent3 8 4" xfId="11420" xr:uid="{CB056710-D901-4288-B5D9-3E8B0BB66038}"/>
    <cellStyle name="20% - Accent3 9" xfId="2241" xr:uid="{00000000-0005-0000-0000-0000E8080000}"/>
    <cellStyle name="20% - Accent3 9 2" xfId="6547" xr:uid="{00000000-0005-0000-0000-0000BA190000}"/>
    <cellStyle name="20% - Accent3 9 2 2" xfId="16138" xr:uid="{A6C9D712-BA5B-4740-A301-AE80BEDD81EE}"/>
    <cellStyle name="20% - Accent3 9 3" xfId="11833" xr:uid="{08746CDA-6476-4AF2-B8DC-D5C0498092BA}"/>
    <cellStyle name="20% - Accent4" xfId="9598" builtinId="42" customBuiltin="1"/>
    <cellStyle name="20% - Accent4 10" xfId="4489" xr:uid="{00000000-0005-0000-0000-0000B0110000}"/>
    <cellStyle name="20% - Accent4 10 2" xfId="14080" xr:uid="{1A6556F6-E4A0-4111-B2CB-602AB8DE4252}"/>
    <cellStyle name="20% - Accent4 11" xfId="8725" xr:uid="{00000000-0005-0000-0000-00003C220000}"/>
    <cellStyle name="20% - Accent4 2" xfId="22" xr:uid="{00000000-0005-0000-0000-00001A000000}"/>
    <cellStyle name="20% - Accent4 2 10" xfId="8755" xr:uid="{00000000-0005-0000-0000-00005A220000}"/>
    <cellStyle name="20% - Accent4 2 11" xfId="9628" xr:uid="{ABD03607-2A35-48B1-8733-A6C7839B2B96}"/>
    <cellStyle name="20% - Accent4 2 2" xfId="23" xr:uid="{00000000-0005-0000-0000-00001B000000}"/>
    <cellStyle name="20% - Accent4 2 2 10" xfId="9629" xr:uid="{D9DBEF45-02DD-49E1-A2EC-0E7C209D052D}"/>
    <cellStyle name="20% - Accent4 2 2 2" xfId="24" xr:uid="{00000000-0005-0000-0000-00001C000000}"/>
    <cellStyle name="20% - Accent4 2 2 2 2" xfId="558" xr:uid="{00000000-0005-0000-0000-000055020000}"/>
    <cellStyle name="20% - Accent4 2 2 2 2 2" xfId="2829" xr:uid="{00000000-0005-0000-0000-0000340B0000}"/>
    <cellStyle name="20% - Accent4 2 2 2 2 2 2" xfId="7051" xr:uid="{00000000-0005-0000-0000-0000B21B0000}"/>
    <cellStyle name="20% - Accent4 2 2 2 2 2 2 2" xfId="16642" xr:uid="{AFA488C9-7EBD-4547-9985-E2E5695EC6C1}"/>
    <cellStyle name="20% - Accent4 2 2 2 2 2 3" xfId="12421" xr:uid="{94AA2DB2-498D-4AA6-BFD7-E8799EAC0624}"/>
    <cellStyle name="20% - Accent4 2 2 2 2 3" xfId="4906" xr:uid="{00000000-0005-0000-0000-000051130000}"/>
    <cellStyle name="20% - Accent4 2 2 2 2 3 2" xfId="14497" xr:uid="{FF462E61-617D-4CD3-957E-791B602FB9DB}"/>
    <cellStyle name="20% - Accent4 2 2 2 2 4" xfId="9490" xr:uid="{00000000-0005-0000-0000-000039250000}"/>
    <cellStyle name="20% - Accent4 2 2 2 2 5" xfId="10151" xr:uid="{00B88697-DB5F-4277-9F13-51AC60E07374}"/>
    <cellStyle name="20% - Accent4 2 2 2 3" xfId="1011" xr:uid="{00000000-0005-0000-0000-00001A040000}"/>
    <cellStyle name="20% - Accent4 2 2 2 3 2" xfId="3242" xr:uid="{00000000-0005-0000-0000-0000D10C0000}"/>
    <cellStyle name="20% - Accent4 2 2 2 3 2 2" xfId="7464" xr:uid="{00000000-0005-0000-0000-00004F1D0000}"/>
    <cellStyle name="20% - Accent4 2 2 2 3 2 2 2" xfId="17055" xr:uid="{36EAB0E1-39B9-4A59-A59F-90CAD966D548}"/>
    <cellStyle name="20% - Accent4 2 2 2 3 2 3" xfId="12834" xr:uid="{CE588D95-B411-42F9-9598-30BC7DABC794}"/>
    <cellStyle name="20% - Accent4 2 2 2 3 3" xfId="5319" xr:uid="{00000000-0005-0000-0000-0000EE140000}"/>
    <cellStyle name="20% - Accent4 2 2 2 3 3 2" xfId="14910" xr:uid="{B02D9636-69D7-4FF2-9846-C92ABAEE5128}"/>
    <cellStyle name="20% - Accent4 2 2 2 3 4" xfId="10604" xr:uid="{649DC7E6-FB71-450B-934B-DF48CC00EA32}"/>
    <cellStyle name="20% - Accent4 2 2 2 4" xfId="1425" xr:uid="{00000000-0005-0000-0000-0000B8050000}"/>
    <cellStyle name="20% - Accent4 2 2 2 4 2" xfId="3655" xr:uid="{00000000-0005-0000-0000-00006E0E0000}"/>
    <cellStyle name="20% - Accent4 2 2 2 4 2 2" xfId="7877" xr:uid="{00000000-0005-0000-0000-0000EC1E0000}"/>
    <cellStyle name="20% - Accent4 2 2 2 4 2 2 2" xfId="17468" xr:uid="{5CF2B65C-8B8B-4A71-8D33-A406CE36568B}"/>
    <cellStyle name="20% - Accent4 2 2 2 4 2 3" xfId="13247" xr:uid="{41D0CC46-8919-4FB4-B06A-376907846EC6}"/>
    <cellStyle name="20% - Accent4 2 2 2 4 3" xfId="5732" xr:uid="{00000000-0005-0000-0000-00008B160000}"/>
    <cellStyle name="20% - Accent4 2 2 2 4 3 2" xfId="15323" xr:uid="{4B71A4FD-E0C0-43FB-BB25-92DC946FE242}"/>
    <cellStyle name="20% - Accent4 2 2 2 4 4" xfId="11018" xr:uid="{78E1504A-124E-4798-843D-4265E28132EB}"/>
    <cellStyle name="20% - Accent4 2 2 2 5" xfId="1839" xr:uid="{00000000-0005-0000-0000-000056070000}"/>
    <cellStyle name="20% - Accent4 2 2 2 5 2" xfId="4068" xr:uid="{00000000-0005-0000-0000-00000B100000}"/>
    <cellStyle name="20% - Accent4 2 2 2 5 2 2" xfId="8290" xr:uid="{00000000-0005-0000-0000-000089200000}"/>
    <cellStyle name="20% - Accent4 2 2 2 5 2 2 2" xfId="17881" xr:uid="{DBD1308F-A9A1-434B-A41B-9A732C1E0686}"/>
    <cellStyle name="20% - Accent4 2 2 2 5 2 3" xfId="13660" xr:uid="{7E5F772C-62A1-4660-ABAF-E72063240FD4}"/>
    <cellStyle name="20% - Accent4 2 2 2 5 3" xfId="6145" xr:uid="{00000000-0005-0000-0000-000028180000}"/>
    <cellStyle name="20% - Accent4 2 2 2 5 3 2" xfId="15736" xr:uid="{E1E6C72B-1837-4736-8D82-28C709CE5C55}"/>
    <cellStyle name="20% - Accent4 2 2 2 5 4" xfId="11431" xr:uid="{915B2926-936C-4F07-BB80-831778211E32}"/>
    <cellStyle name="20% - Accent4 2 2 2 6" xfId="2252" xr:uid="{00000000-0005-0000-0000-0000F3080000}"/>
    <cellStyle name="20% - Accent4 2 2 2 6 2" xfId="6558" xr:uid="{00000000-0005-0000-0000-0000C5190000}"/>
    <cellStyle name="20% - Accent4 2 2 2 6 2 2" xfId="16149" xr:uid="{DF7DE081-C699-4E27-BD69-AC0562B1D0F9}"/>
    <cellStyle name="20% - Accent4 2 2 2 6 3" xfId="11844" xr:uid="{D95200E7-E94C-4C73-8F4C-8CFC00618DF1}"/>
    <cellStyle name="20% - Accent4 2 2 2 7" xfId="4492" xr:uid="{00000000-0005-0000-0000-0000B3110000}"/>
    <cellStyle name="20% - Accent4 2 2 2 7 2" xfId="14083" xr:uid="{6711A94A-88D5-454C-AFDC-0A341982F5F9}"/>
    <cellStyle name="20% - Accent4 2 2 2 8" xfId="9065" xr:uid="{00000000-0005-0000-0000-000090230000}"/>
    <cellStyle name="20% - Accent4 2 2 2 9" xfId="9630" xr:uid="{9FEBEC8A-DB43-474F-BD05-EA285453ACBB}"/>
    <cellStyle name="20% - Accent4 2 2 3" xfId="557" xr:uid="{00000000-0005-0000-0000-000054020000}"/>
    <cellStyle name="20% - Accent4 2 2 3 2" xfId="2828" xr:uid="{00000000-0005-0000-0000-0000330B0000}"/>
    <cellStyle name="20% - Accent4 2 2 3 2 2" xfId="7050" xr:uid="{00000000-0005-0000-0000-0000B11B0000}"/>
    <cellStyle name="20% - Accent4 2 2 3 2 2 2" xfId="16641" xr:uid="{9C624F42-9A0F-4ACB-B892-E1705C4071F8}"/>
    <cellStyle name="20% - Accent4 2 2 3 2 3" xfId="12420" xr:uid="{2C39322E-4660-4155-A40C-D6212CE4C48B}"/>
    <cellStyle name="20% - Accent4 2 2 3 3" xfId="4905" xr:uid="{00000000-0005-0000-0000-000050130000}"/>
    <cellStyle name="20% - Accent4 2 2 3 3 2" xfId="14496" xr:uid="{405E4D59-D93B-4634-A4A9-14376DABCBC5}"/>
    <cellStyle name="20% - Accent4 2 2 3 4" xfId="9283" xr:uid="{00000000-0005-0000-0000-00006A240000}"/>
    <cellStyle name="20% - Accent4 2 2 3 5" xfId="10150" xr:uid="{0A74DE0D-2FC0-45E6-8E3A-4CB8DF508133}"/>
    <cellStyle name="20% - Accent4 2 2 4" xfId="1010" xr:uid="{00000000-0005-0000-0000-000019040000}"/>
    <cellStyle name="20% - Accent4 2 2 4 2" xfId="3241" xr:uid="{00000000-0005-0000-0000-0000D00C0000}"/>
    <cellStyle name="20% - Accent4 2 2 4 2 2" xfId="7463" xr:uid="{00000000-0005-0000-0000-00004E1D0000}"/>
    <cellStyle name="20% - Accent4 2 2 4 2 2 2" xfId="17054" xr:uid="{502DF501-7B28-442C-9B04-DA5B7883867F}"/>
    <cellStyle name="20% - Accent4 2 2 4 2 3" xfId="12833" xr:uid="{9B34FA8D-E80C-42E8-8BE9-8B18BB3B53AF}"/>
    <cellStyle name="20% - Accent4 2 2 4 3" xfId="5318" xr:uid="{00000000-0005-0000-0000-0000ED140000}"/>
    <cellStyle name="20% - Accent4 2 2 4 3 2" xfId="14909" xr:uid="{B4D4D04E-0813-46FA-AAD1-F399BAD26A2E}"/>
    <cellStyle name="20% - Accent4 2 2 4 4" xfId="10603" xr:uid="{C59202AF-8867-4CB8-9841-92AB55EEEA88}"/>
    <cellStyle name="20% - Accent4 2 2 5" xfId="1424" xr:uid="{00000000-0005-0000-0000-0000B7050000}"/>
    <cellStyle name="20% - Accent4 2 2 5 2" xfId="3654" xr:uid="{00000000-0005-0000-0000-00006D0E0000}"/>
    <cellStyle name="20% - Accent4 2 2 5 2 2" xfId="7876" xr:uid="{00000000-0005-0000-0000-0000EB1E0000}"/>
    <cellStyle name="20% - Accent4 2 2 5 2 2 2" xfId="17467" xr:uid="{A6DBA167-F5E0-49E0-822B-B64629E448AD}"/>
    <cellStyle name="20% - Accent4 2 2 5 2 3" xfId="13246" xr:uid="{AE0F4B52-9F07-481D-B904-43EE91FDFB7E}"/>
    <cellStyle name="20% - Accent4 2 2 5 3" xfId="5731" xr:uid="{00000000-0005-0000-0000-00008A160000}"/>
    <cellStyle name="20% - Accent4 2 2 5 3 2" xfId="15322" xr:uid="{DA90996F-8FD7-415C-AC2C-83DA27FDB3D8}"/>
    <cellStyle name="20% - Accent4 2 2 5 4" xfId="11017" xr:uid="{765706EA-08EA-4208-95ED-DBA650505D75}"/>
    <cellStyle name="20% - Accent4 2 2 6" xfId="1838" xr:uid="{00000000-0005-0000-0000-000055070000}"/>
    <cellStyle name="20% - Accent4 2 2 6 2" xfId="4067" xr:uid="{00000000-0005-0000-0000-00000A100000}"/>
    <cellStyle name="20% - Accent4 2 2 6 2 2" xfId="8289" xr:uid="{00000000-0005-0000-0000-000088200000}"/>
    <cellStyle name="20% - Accent4 2 2 6 2 2 2" xfId="17880" xr:uid="{EE5A34AB-3E14-4075-9B7C-5C90D14733CA}"/>
    <cellStyle name="20% - Accent4 2 2 6 2 3" xfId="13659" xr:uid="{5C5092CC-AA05-4115-9B51-331891692254}"/>
    <cellStyle name="20% - Accent4 2 2 6 3" xfId="6144" xr:uid="{00000000-0005-0000-0000-000027180000}"/>
    <cellStyle name="20% - Accent4 2 2 6 3 2" xfId="15735" xr:uid="{0E12E22C-B647-4A24-A447-CF45C8EA3B10}"/>
    <cellStyle name="20% - Accent4 2 2 6 4" xfId="11430" xr:uid="{360FBABC-2533-4BB7-A79D-C022585A0F7E}"/>
    <cellStyle name="20% - Accent4 2 2 7" xfId="2251" xr:uid="{00000000-0005-0000-0000-0000F2080000}"/>
    <cellStyle name="20% - Accent4 2 2 7 2" xfId="6557" xr:uid="{00000000-0005-0000-0000-0000C4190000}"/>
    <cellStyle name="20% - Accent4 2 2 7 2 2" xfId="16148" xr:uid="{5314909E-BDE4-4072-93B1-87006B29BD12}"/>
    <cellStyle name="20% - Accent4 2 2 7 3" xfId="11843" xr:uid="{1589F80D-7B08-453C-B4E8-12F5522C05CE}"/>
    <cellStyle name="20% - Accent4 2 2 8" xfId="4491" xr:uid="{00000000-0005-0000-0000-0000B2110000}"/>
    <cellStyle name="20% - Accent4 2 2 8 2" xfId="14082" xr:uid="{853089B5-E328-4449-94D5-B0EE09E5CAF0}"/>
    <cellStyle name="20% - Accent4 2 2 9" xfId="8858" xr:uid="{00000000-0005-0000-0000-0000C1220000}"/>
    <cellStyle name="20% - Accent4 2 3" xfId="25" xr:uid="{00000000-0005-0000-0000-00001D000000}"/>
    <cellStyle name="20% - Accent4 2 3 2" xfId="559" xr:uid="{00000000-0005-0000-0000-000056020000}"/>
    <cellStyle name="20% - Accent4 2 3 2 2" xfId="2830" xr:uid="{00000000-0005-0000-0000-0000350B0000}"/>
    <cellStyle name="20% - Accent4 2 3 2 2 2" xfId="7052" xr:uid="{00000000-0005-0000-0000-0000B31B0000}"/>
    <cellStyle name="20% - Accent4 2 3 2 2 2 2" xfId="16643" xr:uid="{FB093066-3D3D-44D8-A706-551BD575C6F2}"/>
    <cellStyle name="20% - Accent4 2 3 2 2 3" xfId="12422" xr:uid="{3A5C6ECE-88C0-421A-884D-5B9088D31F6C}"/>
    <cellStyle name="20% - Accent4 2 3 2 3" xfId="4907" xr:uid="{00000000-0005-0000-0000-000052130000}"/>
    <cellStyle name="20% - Accent4 2 3 2 3 2" xfId="14498" xr:uid="{0D17AFBB-0AB1-469D-B6BB-9D42CFE155F4}"/>
    <cellStyle name="20% - Accent4 2 3 2 4" xfId="9387" xr:uid="{00000000-0005-0000-0000-0000D2240000}"/>
    <cellStyle name="20% - Accent4 2 3 2 5" xfId="10152" xr:uid="{4D52F5E0-B9F0-43EA-BA0F-60E7850445E7}"/>
    <cellStyle name="20% - Accent4 2 3 3" xfId="1012" xr:uid="{00000000-0005-0000-0000-00001B040000}"/>
    <cellStyle name="20% - Accent4 2 3 3 2" xfId="3243" xr:uid="{00000000-0005-0000-0000-0000D20C0000}"/>
    <cellStyle name="20% - Accent4 2 3 3 2 2" xfId="7465" xr:uid="{00000000-0005-0000-0000-0000501D0000}"/>
    <cellStyle name="20% - Accent4 2 3 3 2 2 2" xfId="17056" xr:uid="{35A0122A-BC29-4E71-A2B5-E4479F967F31}"/>
    <cellStyle name="20% - Accent4 2 3 3 2 3" xfId="12835" xr:uid="{4B883295-3A94-4F1E-A246-0D63C25915F2}"/>
    <cellStyle name="20% - Accent4 2 3 3 3" xfId="5320" xr:uid="{00000000-0005-0000-0000-0000EF140000}"/>
    <cellStyle name="20% - Accent4 2 3 3 3 2" xfId="14911" xr:uid="{98021EBE-FD75-46DE-A89E-E544B2A97109}"/>
    <cellStyle name="20% - Accent4 2 3 3 4" xfId="10605" xr:uid="{CBB53C31-B332-4A4D-BB5B-5712FB494EC1}"/>
    <cellStyle name="20% - Accent4 2 3 4" xfId="1426" xr:uid="{00000000-0005-0000-0000-0000B9050000}"/>
    <cellStyle name="20% - Accent4 2 3 4 2" xfId="3656" xr:uid="{00000000-0005-0000-0000-00006F0E0000}"/>
    <cellStyle name="20% - Accent4 2 3 4 2 2" xfId="7878" xr:uid="{00000000-0005-0000-0000-0000ED1E0000}"/>
    <cellStyle name="20% - Accent4 2 3 4 2 2 2" xfId="17469" xr:uid="{D0AF1F38-9B44-49E9-9032-8753EDD98300}"/>
    <cellStyle name="20% - Accent4 2 3 4 2 3" xfId="13248" xr:uid="{878686D1-20D3-400D-A6E3-C4DE8C7E66DD}"/>
    <cellStyle name="20% - Accent4 2 3 4 3" xfId="5733" xr:uid="{00000000-0005-0000-0000-00008C160000}"/>
    <cellStyle name="20% - Accent4 2 3 4 3 2" xfId="15324" xr:uid="{8F5C9CE5-3FAB-4D34-B93C-F6CC5E818C9B}"/>
    <cellStyle name="20% - Accent4 2 3 4 4" xfId="11019" xr:uid="{056656D5-7A2E-4BBA-8F6E-E632F24A8E32}"/>
    <cellStyle name="20% - Accent4 2 3 5" xfId="1840" xr:uid="{00000000-0005-0000-0000-000057070000}"/>
    <cellStyle name="20% - Accent4 2 3 5 2" xfId="4069" xr:uid="{00000000-0005-0000-0000-00000C100000}"/>
    <cellStyle name="20% - Accent4 2 3 5 2 2" xfId="8291" xr:uid="{00000000-0005-0000-0000-00008A200000}"/>
    <cellStyle name="20% - Accent4 2 3 5 2 2 2" xfId="17882" xr:uid="{DD0ECAE4-CA42-4C3E-A022-B6AF2B89735B}"/>
    <cellStyle name="20% - Accent4 2 3 5 2 3" xfId="13661" xr:uid="{1161FA53-AB29-493D-BE17-6D12E86179EF}"/>
    <cellStyle name="20% - Accent4 2 3 5 3" xfId="6146" xr:uid="{00000000-0005-0000-0000-000029180000}"/>
    <cellStyle name="20% - Accent4 2 3 5 3 2" xfId="15737" xr:uid="{2BE179CC-277B-40C5-9DEB-9AE2BEDFFBCB}"/>
    <cellStyle name="20% - Accent4 2 3 5 4" xfId="11432" xr:uid="{E2D24284-A267-4906-9CF3-B1BF46A2FBA4}"/>
    <cellStyle name="20% - Accent4 2 3 6" xfId="2253" xr:uid="{00000000-0005-0000-0000-0000F4080000}"/>
    <cellStyle name="20% - Accent4 2 3 6 2" xfId="6559" xr:uid="{00000000-0005-0000-0000-0000C6190000}"/>
    <cellStyle name="20% - Accent4 2 3 6 2 2" xfId="16150" xr:uid="{E57C4F39-7F1D-4AF0-B5B5-78A3A54A2595}"/>
    <cellStyle name="20% - Accent4 2 3 6 3" xfId="11845" xr:uid="{66F049A2-F17D-4C30-ADAF-68512B6BB3EE}"/>
    <cellStyle name="20% - Accent4 2 3 7" xfId="4493" xr:uid="{00000000-0005-0000-0000-0000B4110000}"/>
    <cellStyle name="20% - Accent4 2 3 7 2" xfId="14084" xr:uid="{4C08E352-6A04-4527-9D8F-CC97E1AEAE14}"/>
    <cellStyle name="20% - Accent4 2 3 8" xfId="8962" xr:uid="{00000000-0005-0000-0000-000029230000}"/>
    <cellStyle name="20% - Accent4 2 3 9" xfId="9631" xr:uid="{3813EEA7-6890-43EE-A178-B5C68534057A}"/>
    <cellStyle name="20% - Accent4 2 4" xfId="556" xr:uid="{00000000-0005-0000-0000-000053020000}"/>
    <cellStyle name="20% - Accent4 2 4 2" xfId="2827" xr:uid="{00000000-0005-0000-0000-0000320B0000}"/>
    <cellStyle name="20% - Accent4 2 4 2 2" xfId="7049" xr:uid="{00000000-0005-0000-0000-0000B01B0000}"/>
    <cellStyle name="20% - Accent4 2 4 2 2 2" xfId="16640" xr:uid="{3E93F8AC-3B86-4685-BA8A-339DDB7504B6}"/>
    <cellStyle name="20% - Accent4 2 4 2 3" xfId="12419" xr:uid="{DC2A56BE-DB34-4106-8311-841B73346E40}"/>
    <cellStyle name="20% - Accent4 2 4 3" xfId="4904" xr:uid="{00000000-0005-0000-0000-00004F130000}"/>
    <cellStyle name="20% - Accent4 2 4 3 2" xfId="14495" xr:uid="{276A8CEC-A0D7-48A9-99D0-662936743F17}"/>
    <cellStyle name="20% - Accent4 2 4 4" xfId="9179" xr:uid="{00000000-0005-0000-0000-000002240000}"/>
    <cellStyle name="20% - Accent4 2 4 5" xfId="10149" xr:uid="{27D1F0C4-0936-4B20-921C-C2F8D0DAE24E}"/>
    <cellStyle name="20% - Accent4 2 5" xfId="1009" xr:uid="{00000000-0005-0000-0000-000018040000}"/>
    <cellStyle name="20% - Accent4 2 5 2" xfId="3240" xr:uid="{00000000-0005-0000-0000-0000CF0C0000}"/>
    <cellStyle name="20% - Accent4 2 5 2 2" xfId="7462" xr:uid="{00000000-0005-0000-0000-00004D1D0000}"/>
    <cellStyle name="20% - Accent4 2 5 2 2 2" xfId="17053" xr:uid="{9DE92B51-9CC5-4259-8DDE-4295D406D03D}"/>
    <cellStyle name="20% - Accent4 2 5 2 3" xfId="12832" xr:uid="{E9DAABEE-91EF-4587-8FFE-67AFFCE96870}"/>
    <cellStyle name="20% - Accent4 2 5 3" xfId="5317" xr:uid="{00000000-0005-0000-0000-0000EC140000}"/>
    <cellStyle name="20% - Accent4 2 5 3 2" xfId="14908" xr:uid="{A6315E73-430B-4E9E-8FEC-8C332F2A1928}"/>
    <cellStyle name="20% - Accent4 2 5 4" xfId="10602" xr:uid="{FEDFDD93-D5BF-46D0-A376-55F81989A021}"/>
    <cellStyle name="20% - Accent4 2 6" xfId="1423" xr:uid="{00000000-0005-0000-0000-0000B6050000}"/>
    <cellStyle name="20% - Accent4 2 6 2" xfId="3653" xr:uid="{00000000-0005-0000-0000-00006C0E0000}"/>
    <cellStyle name="20% - Accent4 2 6 2 2" xfId="7875" xr:uid="{00000000-0005-0000-0000-0000EA1E0000}"/>
    <cellStyle name="20% - Accent4 2 6 2 2 2" xfId="17466" xr:uid="{1DF4B176-0631-4853-9DBD-B8BBBBF0D495}"/>
    <cellStyle name="20% - Accent4 2 6 2 3" xfId="13245" xr:uid="{EE7EDE42-4EEB-472D-B63A-7A551A828E4A}"/>
    <cellStyle name="20% - Accent4 2 6 3" xfId="5730" xr:uid="{00000000-0005-0000-0000-000089160000}"/>
    <cellStyle name="20% - Accent4 2 6 3 2" xfId="15321" xr:uid="{6EE967B5-0CE4-40B7-A457-92175CC36215}"/>
    <cellStyle name="20% - Accent4 2 6 4" xfId="11016" xr:uid="{54B44226-DB57-486D-9D14-EA5619EAF832}"/>
    <cellStyle name="20% - Accent4 2 7" xfId="1837" xr:uid="{00000000-0005-0000-0000-000054070000}"/>
    <cellStyle name="20% - Accent4 2 7 2" xfId="4066" xr:uid="{00000000-0005-0000-0000-000009100000}"/>
    <cellStyle name="20% - Accent4 2 7 2 2" xfId="8288" xr:uid="{00000000-0005-0000-0000-000087200000}"/>
    <cellStyle name="20% - Accent4 2 7 2 2 2" xfId="17879" xr:uid="{5EC52DD0-D960-4001-A94C-16C28F0F4AAB}"/>
    <cellStyle name="20% - Accent4 2 7 2 3" xfId="13658" xr:uid="{9ED6DEEB-F89E-461F-AD38-9FDC5134F489}"/>
    <cellStyle name="20% - Accent4 2 7 3" xfId="6143" xr:uid="{00000000-0005-0000-0000-000026180000}"/>
    <cellStyle name="20% - Accent4 2 7 3 2" xfId="15734" xr:uid="{678451B8-FD08-4BF0-87DB-2F782A0AF79A}"/>
    <cellStyle name="20% - Accent4 2 7 4" xfId="11429" xr:uid="{D9E80EF7-2BAF-457C-8A22-4BBD9FCB6065}"/>
    <cellStyle name="20% - Accent4 2 8" xfId="2250" xr:uid="{00000000-0005-0000-0000-0000F1080000}"/>
    <cellStyle name="20% - Accent4 2 8 2" xfId="6556" xr:uid="{00000000-0005-0000-0000-0000C3190000}"/>
    <cellStyle name="20% - Accent4 2 8 2 2" xfId="16147" xr:uid="{5F7360B3-A8B7-4E55-A410-61C3947A2511}"/>
    <cellStyle name="20% - Accent4 2 8 3" xfId="11842" xr:uid="{7828426B-05D5-4819-BD8D-5AE417842AF9}"/>
    <cellStyle name="20% - Accent4 2 9" xfId="4490" xr:uid="{00000000-0005-0000-0000-0000B1110000}"/>
    <cellStyle name="20% - Accent4 2 9 2" xfId="14081" xr:uid="{BADE015C-6B72-427B-818F-E165438ADC65}"/>
    <cellStyle name="20% - Accent4 3" xfId="26" xr:uid="{00000000-0005-0000-0000-00001E000000}"/>
    <cellStyle name="20% - Accent4 3 10" xfId="9632" xr:uid="{C9C7F531-4DF7-4077-9285-3AE5274AFF03}"/>
    <cellStyle name="20% - Accent4 3 2" xfId="27" xr:uid="{00000000-0005-0000-0000-00001F000000}"/>
    <cellStyle name="20% - Accent4 3 2 2" xfId="561" xr:uid="{00000000-0005-0000-0000-000058020000}"/>
    <cellStyle name="20% - Accent4 3 2 2 2" xfId="2832" xr:uid="{00000000-0005-0000-0000-0000370B0000}"/>
    <cellStyle name="20% - Accent4 3 2 2 2 2" xfId="7054" xr:uid="{00000000-0005-0000-0000-0000B51B0000}"/>
    <cellStyle name="20% - Accent4 3 2 2 2 2 2" xfId="16645" xr:uid="{53F371BB-C79C-4C0B-94EE-5DA73EBB5B23}"/>
    <cellStyle name="20% - Accent4 3 2 2 2 3" xfId="12424" xr:uid="{60527DC1-24EE-44B6-8E1B-471351BA531B}"/>
    <cellStyle name="20% - Accent4 3 2 2 3" xfId="4909" xr:uid="{00000000-0005-0000-0000-000054130000}"/>
    <cellStyle name="20% - Accent4 3 2 2 3 2" xfId="14500" xr:uid="{6DD7767E-D3E4-4F6D-AF10-DBD492B33B9F}"/>
    <cellStyle name="20% - Accent4 3 2 2 4" xfId="9460" xr:uid="{00000000-0005-0000-0000-00001B250000}"/>
    <cellStyle name="20% - Accent4 3 2 2 5" xfId="10154" xr:uid="{7448B23C-F215-405B-89E6-7340845C2853}"/>
    <cellStyle name="20% - Accent4 3 2 3" xfId="1014" xr:uid="{00000000-0005-0000-0000-00001D040000}"/>
    <cellStyle name="20% - Accent4 3 2 3 2" xfId="3245" xr:uid="{00000000-0005-0000-0000-0000D40C0000}"/>
    <cellStyle name="20% - Accent4 3 2 3 2 2" xfId="7467" xr:uid="{00000000-0005-0000-0000-0000521D0000}"/>
    <cellStyle name="20% - Accent4 3 2 3 2 2 2" xfId="17058" xr:uid="{F1EC0588-E4C7-41FB-82CF-80EBDE67B03E}"/>
    <cellStyle name="20% - Accent4 3 2 3 2 3" xfId="12837" xr:uid="{A53EAFD0-9C0C-4DAB-960B-405A241F8275}"/>
    <cellStyle name="20% - Accent4 3 2 3 3" xfId="5322" xr:uid="{00000000-0005-0000-0000-0000F1140000}"/>
    <cellStyle name="20% - Accent4 3 2 3 3 2" xfId="14913" xr:uid="{164B4A2F-ACFA-44D3-BE3C-E0756B1C6D8F}"/>
    <cellStyle name="20% - Accent4 3 2 3 4" xfId="10607" xr:uid="{A61DC674-C207-4FCE-9831-FA89F2066873}"/>
    <cellStyle name="20% - Accent4 3 2 4" xfId="1428" xr:uid="{00000000-0005-0000-0000-0000BB050000}"/>
    <cellStyle name="20% - Accent4 3 2 4 2" xfId="3658" xr:uid="{00000000-0005-0000-0000-0000710E0000}"/>
    <cellStyle name="20% - Accent4 3 2 4 2 2" xfId="7880" xr:uid="{00000000-0005-0000-0000-0000EF1E0000}"/>
    <cellStyle name="20% - Accent4 3 2 4 2 2 2" xfId="17471" xr:uid="{7D6BF3AC-C3BB-4219-A630-66E636949D86}"/>
    <cellStyle name="20% - Accent4 3 2 4 2 3" xfId="13250" xr:uid="{7042C858-E0ED-448D-9B03-4594A94A586B}"/>
    <cellStyle name="20% - Accent4 3 2 4 3" xfId="5735" xr:uid="{00000000-0005-0000-0000-00008E160000}"/>
    <cellStyle name="20% - Accent4 3 2 4 3 2" xfId="15326" xr:uid="{197176E6-657A-4967-BD79-1C38B1E5C15F}"/>
    <cellStyle name="20% - Accent4 3 2 4 4" xfId="11021" xr:uid="{A2DAB9E4-D4EF-48CA-94BE-CA54082EE6D1}"/>
    <cellStyle name="20% - Accent4 3 2 5" xfId="1842" xr:uid="{00000000-0005-0000-0000-000059070000}"/>
    <cellStyle name="20% - Accent4 3 2 5 2" xfId="4071" xr:uid="{00000000-0005-0000-0000-00000E100000}"/>
    <cellStyle name="20% - Accent4 3 2 5 2 2" xfId="8293" xr:uid="{00000000-0005-0000-0000-00008C200000}"/>
    <cellStyle name="20% - Accent4 3 2 5 2 2 2" xfId="17884" xr:uid="{1F294973-395C-436C-82C2-99A0734DC0CD}"/>
    <cellStyle name="20% - Accent4 3 2 5 2 3" xfId="13663" xr:uid="{B0B0F56C-E327-49DF-89E4-0AA54C572AC8}"/>
    <cellStyle name="20% - Accent4 3 2 5 3" xfId="6148" xr:uid="{00000000-0005-0000-0000-00002B180000}"/>
    <cellStyle name="20% - Accent4 3 2 5 3 2" xfId="15739" xr:uid="{6F2093D8-896D-41FB-93DF-0D54CE9FF8D8}"/>
    <cellStyle name="20% - Accent4 3 2 5 4" xfId="11434" xr:uid="{0C8EC7A9-FC47-43A4-BA85-BF18001D2B3A}"/>
    <cellStyle name="20% - Accent4 3 2 6" xfId="2255" xr:uid="{00000000-0005-0000-0000-0000F6080000}"/>
    <cellStyle name="20% - Accent4 3 2 6 2" xfId="6561" xr:uid="{00000000-0005-0000-0000-0000C8190000}"/>
    <cellStyle name="20% - Accent4 3 2 6 2 2" xfId="16152" xr:uid="{EE6854D6-E37B-44B5-B715-0EDDAE42DB11}"/>
    <cellStyle name="20% - Accent4 3 2 6 3" xfId="11847" xr:uid="{85DD20D8-6A5E-43D3-A51A-B53F4CCD987A}"/>
    <cellStyle name="20% - Accent4 3 2 7" xfId="4495" xr:uid="{00000000-0005-0000-0000-0000B6110000}"/>
    <cellStyle name="20% - Accent4 3 2 7 2" xfId="14086" xr:uid="{4E6C0001-604D-45C7-82D3-213C14071918}"/>
    <cellStyle name="20% - Accent4 3 2 8" xfId="9035" xr:uid="{00000000-0005-0000-0000-000072230000}"/>
    <cellStyle name="20% - Accent4 3 2 9" xfId="9633" xr:uid="{63BA320D-87FC-4CE8-B031-3EBCF589A438}"/>
    <cellStyle name="20% - Accent4 3 3" xfId="560" xr:uid="{00000000-0005-0000-0000-000057020000}"/>
    <cellStyle name="20% - Accent4 3 3 2" xfId="2831" xr:uid="{00000000-0005-0000-0000-0000360B0000}"/>
    <cellStyle name="20% - Accent4 3 3 2 2" xfId="7053" xr:uid="{00000000-0005-0000-0000-0000B41B0000}"/>
    <cellStyle name="20% - Accent4 3 3 2 2 2" xfId="16644" xr:uid="{1F6DBD08-DC70-4773-AF9B-EA5EADA5F3C2}"/>
    <cellStyle name="20% - Accent4 3 3 2 3" xfId="12423" xr:uid="{4EA152F4-2B92-404A-9F9C-C8464D9185A2}"/>
    <cellStyle name="20% - Accent4 3 3 3" xfId="4908" xr:uid="{00000000-0005-0000-0000-000053130000}"/>
    <cellStyle name="20% - Accent4 3 3 3 2" xfId="14499" xr:uid="{212C05AC-7A7E-4986-9303-5B84AE9131B9}"/>
    <cellStyle name="20% - Accent4 3 3 4" xfId="9253" xr:uid="{00000000-0005-0000-0000-00004C240000}"/>
    <cellStyle name="20% - Accent4 3 3 5" xfId="10153" xr:uid="{51506A8A-3996-4D0E-9FAA-447A3F1A2DF6}"/>
    <cellStyle name="20% - Accent4 3 4" xfId="1013" xr:uid="{00000000-0005-0000-0000-00001C040000}"/>
    <cellStyle name="20% - Accent4 3 4 2" xfId="3244" xr:uid="{00000000-0005-0000-0000-0000D30C0000}"/>
    <cellStyle name="20% - Accent4 3 4 2 2" xfId="7466" xr:uid="{00000000-0005-0000-0000-0000511D0000}"/>
    <cellStyle name="20% - Accent4 3 4 2 2 2" xfId="17057" xr:uid="{635AC556-99C2-4F13-B71C-3D7502DFE0B1}"/>
    <cellStyle name="20% - Accent4 3 4 2 3" xfId="12836" xr:uid="{394E5627-17C4-482D-A569-EFD10EE67E4E}"/>
    <cellStyle name="20% - Accent4 3 4 3" xfId="5321" xr:uid="{00000000-0005-0000-0000-0000F0140000}"/>
    <cellStyle name="20% - Accent4 3 4 3 2" xfId="14912" xr:uid="{B5256FEE-B4B0-47AD-864B-2F6BEFC4AF3D}"/>
    <cellStyle name="20% - Accent4 3 4 4" xfId="10606" xr:uid="{A8FF324F-1448-4D66-844F-E1782DC84861}"/>
    <cellStyle name="20% - Accent4 3 5" xfId="1427" xr:uid="{00000000-0005-0000-0000-0000BA050000}"/>
    <cellStyle name="20% - Accent4 3 5 2" xfId="3657" xr:uid="{00000000-0005-0000-0000-0000700E0000}"/>
    <cellStyle name="20% - Accent4 3 5 2 2" xfId="7879" xr:uid="{00000000-0005-0000-0000-0000EE1E0000}"/>
    <cellStyle name="20% - Accent4 3 5 2 2 2" xfId="17470" xr:uid="{94742153-CA37-4D7E-9F70-0A967105EB8D}"/>
    <cellStyle name="20% - Accent4 3 5 2 3" xfId="13249" xr:uid="{D0228F9D-0D6B-4D72-A0BD-F7795DE556D6}"/>
    <cellStyle name="20% - Accent4 3 5 3" xfId="5734" xr:uid="{00000000-0005-0000-0000-00008D160000}"/>
    <cellStyle name="20% - Accent4 3 5 3 2" xfId="15325" xr:uid="{9999FB92-8EB2-4832-AD79-6632D570DE7F}"/>
    <cellStyle name="20% - Accent4 3 5 4" xfId="11020" xr:uid="{BF692BCE-7593-4030-B861-029470644B0A}"/>
    <cellStyle name="20% - Accent4 3 6" xfId="1841" xr:uid="{00000000-0005-0000-0000-000058070000}"/>
    <cellStyle name="20% - Accent4 3 6 2" xfId="4070" xr:uid="{00000000-0005-0000-0000-00000D100000}"/>
    <cellStyle name="20% - Accent4 3 6 2 2" xfId="8292" xr:uid="{00000000-0005-0000-0000-00008B200000}"/>
    <cellStyle name="20% - Accent4 3 6 2 2 2" xfId="17883" xr:uid="{B451A2E2-8A77-4433-933F-65CB9B9E719C}"/>
    <cellStyle name="20% - Accent4 3 6 2 3" xfId="13662" xr:uid="{6056C9DB-DC4C-42F5-8307-D9B613F43D53}"/>
    <cellStyle name="20% - Accent4 3 6 3" xfId="6147" xr:uid="{00000000-0005-0000-0000-00002A180000}"/>
    <cellStyle name="20% - Accent4 3 6 3 2" xfId="15738" xr:uid="{B80A98FA-D503-4896-9AF9-5B26E49F13D7}"/>
    <cellStyle name="20% - Accent4 3 6 4" xfId="11433" xr:uid="{653DC11A-6DF3-4128-BFD2-8697D6336133}"/>
    <cellStyle name="20% - Accent4 3 7" xfId="2254" xr:uid="{00000000-0005-0000-0000-0000F5080000}"/>
    <cellStyle name="20% - Accent4 3 7 2" xfId="6560" xr:uid="{00000000-0005-0000-0000-0000C7190000}"/>
    <cellStyle name="20% - Accent4 3 7 2 2" xfId="16151" xr:uid="{8B0DEB76-6460-4E88-8AFA-D0EA5DC266E7}"/>
    <cellStyle name="20% - Accent4 3 7 3" xfId="11846" xr:uid="{1E23E31D-E398-4340-9D06-E33BF6241380}"/>
    <cellStyle name="20% - Accent4 3 8" xfId="4494" xr:uid="{00000000-0005-0000-0000-0000B5110000}"/>
    <cellStyle name="20% - Accent4 3 8 2" xfId="14085" xr:uid="{047A7E47-9FBD-4C6A-857E-EA28EBB08F1E}"/>
    <cellStyle name="20% - Accent4 3 9" xfId="8828" xr:uid="{00000000-0005-0000-0000-0000A3220000}"/>
    <cellStyle name="20% - Accent4 4" xfId="28" xr:uid="{00000000-0005-0000-0000-000020000000}"/>
    <cellStyle name="20% - Accent4 4 2" xfId="562" xr:uid="{00000000-0005-0000-0000-000059020000}"/>
    <cellStyle name="20% - Accent4 4 2 2" xfId="2833" xr:uid="{00000000-0005-0000-0000-0000380B0000}"/>
    <cellStyle name="20% - Accent4 4 2 2 2" xfId="7055" xr:uid="{00000000-0005-0000-0000-0000B61B0000}"/>
    <cellStyle name="20% - Accent4 4 2 2 2 2" xfId="16646" xr:uid="{36CCBC2C-B961-4EC7-9C0B-22A8EDFC5BEA}"/>
    <cellStyle name="20% - Accent4 4 2 2 3" xfId="12425" xr:uid="{5E34B9A4-93D2-4E83-BEB6-DFA244A517F6}"/>
    <cellStyle name="20% - Accent4 4 2 3" xfId="4910" xr:uid="{00000000-0005-0000-0000-000055130000}"/>
    <cellStyle name="20% - Accent4 4 2 3 2" xfId="14501" xr:uid="{930A31F3-A994-409B-8E5F-DB0D552660F4}"/>
    <cellStyle name="20% - Accent4 4 2 4" xfId="9339" xr:uid="{00000000-0005-0000-0000-0000A2240000}"/>
    <cellStyle name="20% - Accent4 4 2 5" xfId="10155" xr:uid="{0F753346-66F6-4325-8EB8-A31AEE4EDDB1}"/>
    <cellStyle name="20% - Accent4 4 3" xfId="1015" xr:uid="{00000000-0005-0000-0000-00001E040000}"/>
    <cellStyle name="20% - Accent4 4 3 2" xfId="3246" xr:uid="{00000000-0005-0000-0000-0000D50C0000}"/>
    <cellStyle name="20% - Accent4 4 3 2 2" xfId="7468" xr:uid="{00000000-0005-0000-0000-0000531D0000}"/>
    <cellStyle name="20% - Accent4 4 3 2 2 2" xfId="17059" xr:uid="{A0961F0E-00EF-4208-BC46-8B506160B9DD}"/>
    <cellStyle name="20% - Accent4 4 3 2 3" xfId="12838" xr:uid="{2B870CEA-FAFB-4F3D-8719-8F2FCD1B2D41}"/>
    <cellStyle name="20% - Accent4 4 3 3" xfId="5323" xr:uid="{00000000-0005-0000-0000-0000F2140000}"/>
    <cellStyle name="20% - Accent4 4 3 3 2" xfId="14914" xr:uid="{41D4C6AD-D20F-42DC-960A-1212B1866E01}"/>
    <cellStyle name="20% - Accent4 4 3 4" xfId="10608" xr:uid="{7445FB87-53E6-4BE6-874F-EDAC647CFE88}"/>
    <cellStyle name="20% - Accent4 4 4" xfId="1429" xr:uid="{00000000-0005-0000-0000-0000BC050000}"/>
    <cellStyle name="20% - Accent4 4 4 2" xfId="3659" xr:uid="{00000000-0005-0000-0000-0000720E0000}"/>
    <cellStyle name="20% - Accent4 4 4 2 2" xfId="7881" xr:uid="{00000000-0005-0000-0000-0000F01E0000}"/>
    <cellStyle name="20% - Accent4 4 4 2 2 2" xfId="17472" xr:uid="{9FD4E6F3-BE14-4B71-B4F5-9DAB9CF843EA}"/>
    <cellStyle name="20% - Accent4 4 4 2 3" xfId="13251" xr:uid="{A24947E6-D096-4C65-9EB8-0FAFDD51CE26}"/>
    <cellStyle name="20% - Accent4 4 4 3" xfId="5736" xr:uid="{00000000-0005-0000-0000-00008F160000}"/>
    <cellStyle name="20% - Accent4 4 4 3 2" xfId="15327" xr:uid="{7C65B911-7FD6-4617-BBEC-2938654746D9}"/>
    <cellStyle name="20% - Accent4 4 4 4" xfId="11022" xr:uid="{7030B4F0-E0C5-40AD-8164-DCA5C39FE41E}"/>
    <cellStyle name="20% - Accent4 4 5" xfId="1843" xr:uid="{00000000-0005-0000-0000-00005A070000}"/>
    <cellStyle name="20% - Accent4 4 5 2" xfId="4072" xr:uid="{00000000-0005-0000-0000-00000F100000}"/>
    <cellStyle name="20% - Accent4 4 5 2 2" xfId="8294" xr:uid="{00000000-0005-0000-0000-00008D200000}"/>
    <cellStyle name="20% - Accent4 4 5 2 2 2" xfId="17885" xr:uid="{2CC98934-8CEE-4B70-B810-EAEDE4EBA7B9}"/>
    <cellStyle name="20% - Accent4 4 5 2 3" xfId="13664" xr:uid="{25CEF5D4-3050-4A22-A13B-5ECF27681C47}"/>
    <cellStyle name="20% - Accent4 4 5 3" xfId="6149" xr:uid="{00000000-0005-0000-0000-00002C180000}"/>
    <cellStyle name="20% - Accent4 4 5 3 2" xfId="15740" xr:uid="{A6DFDA5D-8539-4915-ABBC-F685F637AFEB}"/>
    <cellStyle name="20% - Accent4 4 5 4" xfId="11435" xr:uid="{E235952A-8502-4AB8-A970-EF4B9EBF452E}"/>
    <cellStyle name="20% - Accent4 4 6" xfId="2256" xr:uid="{00000000-0005-0000-0000-0000F7080000}"/>
    <cellStyle name="20% - Accent4 4 6 2" xfId="6562" xr:uid="{00000000-0005-0000-0000-0000C9190000}"/>
    <cellStyle name="20% - Accent4 4 6 2 2" xfId="16153" xr:uid="{2D113875-B0D7-44A7-B434-17FD7058CF52}"/>
    <cellStyle name="20% - Accent4 4 6 3" xfId="11848" xr:uid="{264B5077-D110-43FA-ADA8-11E3A4171CCF}"/>
    <cellStyle name="20% - Accent4 4 7" xfId="4496" xr:uid="{00000000-0005-0000-0000-0000B7110000}"/>
    <cellStyle name="20% - Accent4 4 7 2" xfId="14087" xr:uid="{CCE36F07-90A3-4132-AADB-2456018DE91C}"/>
    <cellStyle name="20% - Accent4 4 8" xfId="8914" xr:uid="{00000000-0005-0000-0000-0000F9220000}"/>
    <cellStyle name="20% - Accent4 4 9" xfId="9634" xr:uid="{FCDD3B6F-10B3-4DB6-9EC2-93E50E272CDC}"/>
    <cellStyle name="20% - Accent4 5" xfId="555" xr:uid="{00000000-0005-0000-0000-000052020000}"/>
    <cellStyle name="20% - Accent4 5 2" xfId="2826" xr:uid="{00000000-0005-0000-0000-0000310B0000}"/>
    <cellStyle name="20% - Accent4 5 2 2" xfId="7048" xr:uid="{00000000-0005-0000-0000-0000AF1B0000}"/>
    <cellStyle name="20% - Accent4 5 2 2 2" xfId="16639" xr:uid="{207A57C7-1E58-43BF-BD86-7618EC44556C}"/>
    <cellStyle name="20% - Accent4 5 2 3" xfId="12418" xr:uid="{67B7A9D1-6E86-48C9-A0E4-912DB3A63102}"/>
    <cellStyle name="20% - Accent4 5 3" xfId="4903" xr:uid="{00000000-0005-0000-0000-00004E130000}"/>
    <cellStyle name="20% - Accent4 5 3 2" xfId="14494" xr:uid="{BD9B1437-2736-45E3-B21A-6E858FC49D10}"/>
    <cellStyle name="20% - Accent4 5 4" xfId="9147" xr:uid="{00000000-0005-0000-0000-0000E2230000}"/>
    <cellStyle name="20% - Accent4 5 5" xfId="10148" xr:uid="{84A53F67-9E08-460E-82AB-F9B53606B9A3}"/>
    <cellStyle name="20% - Accent4 6" xfId="1008" xr:uid="{00000000-0005-0000-0000-000017040000}"/>
    <cellStyle name="20% - Accent4 6 2" xfId="3239" xr:uid="{00000000-0005-0000-0000-0000CE0C0000}"/>
    <cellStyle name="20% - Accent4 6 2 2" xfId="7461" xr:uid="{00000000-0005-0000-0000-00004C1D0000}"/>
    <cellStyle name="20% - Accent4 6 2 2 2" xfId="17052" xr:uid="{753D96D6-A365-4B0F-8325-830539CFACBE}"/>
    <cellStyle name="20% - Accent4 6 2 3" xfId="12831" xr:uid="{55C1CC52-1174-4BB6-9F35-240258E4AFA4}"/>
    <cellStyle name="20% - Accent4 6 3" xfId="5316" xr:uid="{00000000-0005-0000-0000-0000EB140000}"/>
    <cellStyle name="20% - Accent4 6 3 2" xfId="14907" xr:uid="{DB7F7C6D-445C-4940-A0BF-B68863FDED1E}"/>
    <cellStyle name="20% - Accent4 6 4" xfId="10601" xr:uid="{745FF767-026A-44E3-B220-14CA6A1FA38A}"/>
    <cellStyle name="20% - Accent4 7" xfId="1422" xr:uid="{00000000-0005-0000-0000-0000B5050000}"/>
    <cellStyle name="20% - Accent4 7 2" xfId="3652" xr:uid="{00000000-0005-0000-0000-00006B0E0000}"/>
    <cellStyle name="20% - Accent4 7 2 2" xfId="7874" xr:uid="{00000000-0005-0000-0000-0000E91E0000}"/>
    <cellStyle name="20% - Accent4 7 2 2 2" xfId="17465" xr:uid="{1747CE6D-9C17-476C-A778-265E3F289B74}"/>
    <cellStyle name="20% - Accent4 7 2 3" xfId="13244" xr:uid="{1BB3808B-4C0B-4119-BEC9-AD5D308B185C}"/>
    <cellStyle name="20% - Accent4 7 3" xfId="5729" xr:uid="{00000000-0005-0000-0000-000088160000}"/>
    <cellStyle name="20% - Accent4 7 3 2" xfId="15320" xr:uid="{C97661A2-FE14-45AF-89AD-93061A10E8EB}"/>
    <cellStyle name="20% - Accent4 7 4" xfId="11015" xr:uid="{F080D1D1-7A50-469B-BC80-EE5AF551DBAA}"/>
    <cellStyle name="20% - Accent4 8" xfId="1836" xr:uid="{00000000-0005-0000-0000-000053070000}"/>
    <cellStyle name="20% - Accent4 8 2" xfId="4065" xr:uid="{00000000-0005-0000-0000-000008100000}"/>
    <cellStyle name="20% - Accent4 8 2 2" xfId="8287" xr:uid="{00000000-0005-0000-0000-000086200000}"/>
    <cellStyle name="20% - Accent4 8 2 2 2" xfId="17878" xr:uid="{56F12DF8-7585-4E21-A71B-CDF609BCFC60}"/>
    <cellStyle name="20% - Accent4 8 2 3" xfId="13657" xr:uid="{4F348A0C-49BA-47FC-85BD-90E83A100A3B}"/>
    <cellStyle name="20% - Accent4 8 3" xfId="6142" xr:uid="{00000000-0005-0000-0000-000025180000}"/>
    <cellStyle name="20% - Accent4 8 3 2" xfId="15733" xr:uid="{8B5146C1-19F8-40D6-9494-E87CB0AFF8BB}"/>
    <cellStyle name="20% - Accent4 8 4" xfId="11428" xr:uid="{EB7AF654-FCF6-4869-B6B9-6B32E3C3E30A}"/>
    <cellStyle name="20% - Accent4 9" xfId="2249" xr:uid="{00000000-0005-0000-0000-0000F0080000}"/>
    <cellStyle name="20% - Accent4 9 2" xfId="6555" xr:uid="{00000000-0005-0000-0000-0000C2190000}"/>
    <cellStyle name="20% - Accent4 9 2 2" xfId="16146" xr:uid="{A4153832-6152-4820-9F1E-E2E7DC50B15E}"/>
    <cellStyle name="20% - Accent4 9 3" xfId="11841" xr:uid="{1A145D07-0558-4F3C-A575-C7CF41C57441}"/>
    <cellStyle name="20% - Accent5" xfId="9601" builtinId="46" customBuiltin="1"/>
    <cellStyle name="20% - Accent5 10" xfId="4497" xr:uid="{00000000-0005-0000-0000-0000B8110000}"/>
    <cellStyle name="20% - Accent5 10 2" xfId="14088" xr:uid="{C61AECAA-05ED-4C24-AF5B-592AAD905233}"/>
    <cellStyle name="20% - Accent5 11" xfId="8727" xr:uid="{00000000-0005-0000-0000-00003E220000}"/>
    <cellStyle name="20% - Accent5 2" xfId="29" xr:uid="{00000000-0005-0000-0000-000022000000}"/>
    <cellStyle name="20% - Accent5 2 10" xfId="8757" xr:uid="{00000000-0005-0000-0000-00005C220000}"/>
    <cellStyle name="20% - Accent5 2 11" xfId="9635" xr:uid="{E0A7D51D-EA05-4016-A26A-9E6630ABD17C}"/>
    <cellStyle name="20% - Accent5 2 2" xfId="30" xr:uid="{00000000-0005-0000-0000-000023000000}"/>
    <cellStyle name="20% - Accent5 2 2 10" xfId="9636" xr:uid="{641AF38F-4B09-4E1D-B7C7-96C3C582C4AA}"/>
    <cellStyle name="20% - Accent5 2 2 2" xfId="31" xr:uid="{00000000-0005-0000-0000-000024000000}"/>
    <cellStyle name="20% - Accent5 2 2 2 2" xfId="566" xr:uid="{00000000-0005-0000-0000-00005D020000}"/>
    <cellStyle name="20% - Accent5 2 2 2 2 2" xfId="2837" xr:uid="{00000000-0005-0000-0000-00003C0B0000}"/>
    <cellStyle name="20% - Accent5 2 2 2 2 2 2" xfId="7059" xr:uid="{00000000-0005-0000-0000-0000BA1B0000}"/>
    <cellStyle name="20% - Accent5 2 2 2 2 2 2 2" xfId="16650" xr:uid="{C485450A-73C1-430A-BADA-CE0C4737A509}"/>
    <cellStyle name="20% - Accent5 2 2 2 2 2 3" xfId="12429" xr:uid="{BE857C8C-1986-4550-A3D2-EE301E0B21C2}"/>
    <cellStyle name="20% - Accent5 2 2 2 2 3" xfId="4914" xr:uid="{00000000-0005-0000-0000-000059130000}"/>
    <cellStyle name="20% - Accent5 2 2 2 2 3 2" xfId="14505" xr:uid="{A2DE0571-3E66-4E11-BCA9-BCCC39EF085C}"/>
    <cellStyle name="20% - Accent5 2 2 2 2 4" xfId="9492" xr:uid="{00000000-0005-0000-0000-00003B250000}"/>
    <cellStyle name="20% - Accent5 2 2 2 2 5" xfId="10159" xr:uid="{BEB209C8-D6CE-4DCA-97AA-929927E704A2}"/>
    <cellStyle name="20% - Accent5 2 2 2 3" xfId="1019" xr:uid="{00000000-0005-0000-0000-000022040000}"/>
    <cellStyle name="20% - Accent5 2 2 2 3 2" xfId="3250" xr:uid="{00000000-0005-0000-0000-0000D90C0000}"/>
    <cellStyle name="20% - Accent5 2 2 2 3 2 2" xfId="7472" xr:uid="{00000000-0005-0000-0000-0000571D0000}"/>
    <cellStyle name="20% - Accent5 2 2 2 3 2 2 2" xfId="17063" xr:uid="{955CE0A3-EAB7-40FE-AB92-B457446A4EA6}"/>
    <cellStyle name="20% - Accent5 2 2 2 3 2 3" xfId="12842" xr:uid="{685DF0AD-3A70-40CC-99B1-31B6FED13AA8}"/>
    <cellStyle name="20% - Accent5 2 2 2 3 3" xfId="5327" xr:uid="{00000000-0005-0000-0000-0000F6140000}"/>
    <cellStyle name="20% - Accent5 2 2 2 3 3 2" xfId="14918" xr:uid="{8DFE8371-2843-4BC4-B4C2-6A82020F2081}"/>
    <cellStyle name="20% - Accent5 2 2 2 3 4" xfId="10612" xr:uid="{ADACA2E4-0EE6-46D2-90D8-7F4B451F79FB}"/>
    <cellStyle name="20% - Accent5 2 2 2 4" xfId="1433" xr:uid="{00000000-0005-0000-0000-0000C0050000}"/>
    <cellStyle name="20% - Accent5 2 2 2 4 2" xfId="3663" xr:uid="{00000000-0005-0000-0000-0000760E0000}"/>
    <cellStyle name="20% - Accent5 2 2 2 4 2 2" xfId="7885" xr:uid="{00000000-0005-0000-0000-0000F41E0000}"/>
    <cellStyle name="20% - Accent5 2 2 2 4 2 2 2" xfId="17476" xr:uid="{05408858-CEB2-4A19-BCE9-E6478CE57D18}"/>
    <cellStyle name="20% - Accent5 2 2 2 4 2 3" xfId="13255" xr:uid="{F06642E1-9414-4E47-89AC-AE20362562BD}"/>
    <cellStyle name="20% - Accent5 2 2 2 4 3" xfId="5740" xr:uid="{00000000-0005-0000-0000-000093160000}"/>
    <cellStyle name="20% - Accent5 2 2 2 4 3 2" xfId="15331" xr:uid="{2EFC26A8-E94B-43C2-928E-9E43DD48CC2C}"/>
    <cellStyle name="20% - Accent5 2 2 2 4 4" xfId="11026" xr:uid="{D8B514F9-580E-47BF-887A-77F8EC141EA7}"/>
    <cellStyle name="20% - Accent5 2 2 2 5" xfId="1847" xr:uid="{00000000-0005-0000-0000-00005E070000}"/>
    <cellStyle name="20% - Accent5 2 2 2 5 2" xfId="4076" xr:uid="{00000000-0005-0000-0000-000013100000}"/>
    <cellStyle name="20% - Accent5 2 2 2 5 2 2" xfId="8298" xr:uid="{00000000-0005-0000-0000-000091200000}"/>
    <cellStyle name="20% - Accent5 2 2 2 5 2 2 2" xfId="17889" xr:uid="{555F3B8D-0193-4C75-88C8-09AC8A2335F4}"/>
    <cellStyle name="20% - Accent5 2 2 2 5 2 3" xfId="13668" xr:uid="{BF753978-3AFA-44BA-A7D4-1F373ED37A3F}"/>
    <cellStyle name="20% - Accent5 2 2 2 5 3" xfId="6153" xr:uid="{00000000-0005-0000-0000-000030180000}"/>
    <cellStyle name="20% - Accent5 2 2 2 5 3 2" xfId="15744" xr:uid="{765DCD4A-2012-4250-A27B-C1EDBA8A8A94}"/>
    <cellStyle name="20% - Accent5 2 2 2 5 4" xfId="11439" xr:uid="{07CE5A39-465C-4A8D-BDA4-1E7DFACE0A95}"/>
    <cellStyle name="20% - Accent5 2 2 2 6" xfId="2260" xr:uid="{00000000-0005-0000-0000-0000FB080000}"/>
    <cellStyle name="20% - Accent5 2 2 2 6 2" xfId="6566" xr:uid="{00000000-0005-0000-0000-0000CD190000}"/>
    <cellStyle name="20% - Accent5 2 2 2 6 2 2" xfId="16157" xr:uid="{8EDB070A-9172-42BD-B5E0-00DF974CC3FE}"/>
    <cellStyle name="20% - Accent5 2 2 2 6 3" xfId="11852" xr:uid="{47DC5840-EE00-4829-A570-F02D9AAFCB74}"/>
    <cellStyle name="20% - Accent5 2 2 2 7" xfId="4500" xr:uid="{00000000-0005-0000-0000-0000BB110000}"/>
    <cellStyle name="20% - Accent5 2 2 2 7 2" xfId="14091" xr:uid="{2C1885A8-BD6E-43DE-AB35-B682B8A9B638}"/>
    <cellStyle name="20% - Accent5 2 2 2 8" xfId="9067" xr:uid="{00000000-0005-0000-0000-000092230000}"/>
    <cellStyle name="20% - Accent5 2 2 2 9" xfId="9637" xr:uid="{76D52ADB-BAF0-4A43-8C39-4D78CFB6A22F}"/>
    <cellStyle name="20% - Accent5 2 2 3" xfId="565" xr:uid="{00000000-0005-0000-0000-00005C020000}"/>
    <cellStyle name="20% - Accent5 2 2 3 2" xfId="2836" xr:uid="{00000000-0005-0000-0000-00003B0B0000}"/>
    <cellStyle name="20% - Accent5 2 2 3 2 2" xfId="7058" xr:uid="{00000000-0005-0000-0000-0000B91B0000}"/>
    <cellStyle name="20% - Accent5 2 2 3 2 2 2" xfId="16649" xr:uid="{2E1EE1B7-0900-4FA8-A7EB-2FA2F8FDA513}"/>
    <cellStyle name="20% - Accent5 2 2 3 2 3" xfId="12428" xr:uid="{39C7EA0C-FCEA-4AB6-9F59-B7A31A6C323F}"/>
    <cellStyle name="20% - Accent5 2 2 3 3" xfId="4913" xr:uid="{00000000-0005-0000-0000-000058130000}"/>
    <cellStyle name="20% - Accent5 2 2 3 3 2" xfId="14504" xr:uid="{9378E36B-091A-4BF6-B4C1-6BC7EBCF5210}"/>
    <cellStyle name="20% - Accent5 2 2 3 4" xfId="9285" xr:uid="{00000000-0005-0000-0000-00006C240000}"/>
    <cellStyle name="20% - Accent5 2 2 3 5" xfId="10158" xr:uid="{97ACBB04-CBA7-43B9-893D-89E24F913C48}"/>
    <cellStyle name="20% - Accent5 2 2 4" xfId="1018" xr:uid="{00000000-0005-0000-0000-000021040000}"/>
    <cellStyle name="20% - Accent5 2 2 4 2" xfId="3249" xr:uid="{00000000-0005-0000-0000-0000D80C0000}"/>
    <cellStyle name="20% - Accent5 2 2 4 2 2" xfId="7471" xr:uid="{00000000-0005-0000-0000-0000561D0000}"/>
    <cellStyle name="20% - Accent5 2 2 4 2 2 2" xfId="17062" xr:uid="{7FEBDDC2-7E5E-485F-A575-7B832DDD1347}"/>
    <cellStyle name="20% - Accent5 2 2 4 2 3" xfId="12841" xr:uid="{0A4B871C-2AED-482E-B435-4C00881AF697}"/>
    <cellStyle name="20% - Accent5 2 2 4 3" xfId="5326" xr:uid="{00000000-0005-0000-0000-0000F5140000}"/>
    <cellStyle name="20% - Accent5 2 2 4 3 2" xfId="14917" xr:uid="{05406D66-2E0D-43B0-A32F-0DC88FA622C7}"/>
    <cellStyle name="20% - Accent5 2 2 4 4" xfId="10611" xr:uid="{660B48D3-E896-4C15-8AC6-42C1B92F9B6C}"/>
    <cellStyle name="20% - Accent5 2 2 5" xfId="1432" xr:uid="{00000000-0005-0000-0000-0000BF050000}"/>
    <cellStyle name="20% - Accent5 2 2 5 2" xfId="3662" xr:uid="{00000000-0005-0000-0000-0000750E0000}"/>
    <cellStyle name="20% - Accent5 2 2 5 2 2" xfId="7884" xr:uid="{00000000-0005-0000-0000-0000F31E0000}"/>
    <cellStyle name="20% - Accent5 2 2 5 2 2 2" xfId="17475" xr:uid="{33292C85-6975-45F7-8EFF-2C75B45837DD}"/>
    <cellStyle name="20% - Accent5 2 2 5 2 3" xfId="13254" xr:uid="{4CA63723-17A4-4A21-A17D-901503E5F1FF}"/>
    <cellStyle name="20% - Accent5 2 2 5 3" xfId="5739" xr:uid="{00000000-0005-0000-0000-000092160000}"/>
    <cellStyle name="20% - Accent5 2 2 5 3 2" xfId="15330" xr:uid="{A44225E4-14DD-4E37-89CA-4B0D16CC409C}"/>
    <cellStyle name="20% - Accent5 2 2 5 4" xfId="11025" xr:uid="{C93ED1D8-DE62-400C-A139-3F3BD4A45F72}"/>
    <cellStyle name="20% - Accent5 2 2 6" xfId="1846" xr:uid="{00000000-0005-0000-0000-00005D070000}"/>
    <cellStyle name="20% - Accent5 2 2 6 2" xfId="4075" xr:uid="{00000000-0005-0000-0000-000012100000}"/>
    <cellStyle name="20% - Accent5 2 2 6 2 2" xfId="8297" xr:uid="{00000000-0005-0000-0000-000090200000}"/>
    <cellStyle name="20% - Accent5 2 2 6 2 2 2" xfId="17888" xr:uid="{75284313-26B3-47E9-9A1D-262E512CE45E}"/>
    <cellStyle name="20% - Accent5 2 2 6 2 3" xfId="13667" xr:uid="{029B3A35-B6B9-4B0B-B7A4-F6E6442C3683}"/>
    <cellStyle name="20% - Accent5 2 2 6 3" xfId="6152" xr:uid="{00000000-0005-0000-0000-00002F180000}"/>
    <cellStyle name="20% - Accent5 2 2 6 3 2" xfId="15743" xr:uid="{D88023E4-AC40-4048-9200-FF3167EA1EBF}"/>
    <cellStyle name="20% - Accent5 2 2 6 4" xfId="11438" xr:uid="{CE2AD7D0-71CD-419E-A748-4E741D88796B}"/>
    <cellStyle name="20% - Accent5 2 2 7" xfId="2259" xr:uid="{00000000-0005-0000-0000-0000FA080000}"/>
    <cellStyle name="20% - Accent5 2 2 7 2" xfId="6565" xr:uid="{00000000-0005-0000-0000-0000CC190000}"/>
    <cellStyle name="20% - Accent5 2 2 7 2 2" xfId="16156" xr:uid="{121AF457-5B88-41B3-A8FE-DE9E2299D4D4}"/>
    <cellStyle name="20% - Accent5 2 2 7 3" xfId="11851" xr:uid="{C681BCAD-FFB2-4A63-AD42-8537853196A2}"/>
    <cellStyle name="20% - Accent5 2 2 8" xfId="4499" xr:uid="{00000000-0005-0000-0000-0000BA110000}"/>
    <cellStyle name="20% - Accent5 2 2 8 2" xfId="14090" xr:uid="{ABFC6035-36E3-4B43-BA35-EDDABD221B48}"/>
    <cellStyle name="20% - Accent5 2 2 9" xfId="8860" xr:uid="{00000000-0005-0000-0000-0000C3220000}"/>
    <cellStyle name="20% - Accent5 2 3" xfId="32" xr:uid="{00000000-0005-0000-0000-000025000000}"/>
    <cellStyle name="20% - Accent5 2 3 2" xfId="567" xr:uid="{00000000-0005-0000-0000-00005E020000}"/>
    <cellStyle name="20% - Accent5 2 3 2 2" xfId="2838" xr:uid="{00000000-0005-0000-0000-00003D0B0000}"/>
    <cellStyle name="20% - Accent5 2 3 2 2 2" xfId="7060" xr:uid="{00000000-0005-0000-0000-0000BB1B0000}"/>
    <cellStyle name="20% - Accent5 2 3 2 2 2 2" xfId="16651" xr:uid="{B90255A5-2984-4F00-B4A0-F9C6210DAB3C}"/>
    <cellStyle name="20% - Accent5 2 3 2 2 3" xfId="12430" xr:uid="{C4190968-01E2-47D2-8BDA-8FAEE4245B7F}"/>
    <cellStyle name="20% - Accent5 2 3 2 3" xfId="4915" xr:uid="{00000000-0005-0000-0000-00005A130000}"/>
    <cellStyle name="20% - Accent5 2 3 2 3 2" xfId="14506" xr:uid="{0A3C4CF7-33AB-4DA5-96AE-CE87CDC8AB49}"/>
    <cellStyle name="20% - Accent5 2 3 2 4" xfId="9389" xr:uid="{00000000-0005-0000-0000-0000D4240000}"/>
    <cellStyle name="20% - Accent5 2 3 2 5" xfId="10160" xr:uid="{441EF563-1881-44B7-B0F7-12FC4D933FD6}"/>
    <cellStyle name="20% - Accent5 2 3 3" xfId="1020" xr:uid="{00000000-0005-0000-0000-000023040000}"/>
    <cellStyle name="20% - Accent5 2 3 3 2" xfId="3251" xr:uid="{00000000-0005-0000-0000-0000DA0C0000}"/>
    <cellStyle name="20% - Accent5 2 3 3 2 2" xfId="7473" xr:uid="{00000000-0005-0000-0000-0000581D0000}"/>
    <cellStyle name="20% - Accent5 2 3 3 2 2 2" xfId="17064" xr:uid="{373F0CB1-335A-4A8B-8A84-F3DDD557C471}"/>
    <cellStyle name="20% - Accent5 2 3 3 2 3" xfId="12843" xr:uid="{4C66AF9C-128A-4FF3-BD28-D40584C330C1}"/>
    <cellStyle name="20% - Accent5 2 3 3 3" xfId="5328" xr:uid="{00000000-0005-0000-0000-0000F7140000}"/>
    <cellStyle name="20% - Accent5 2 3 3 3 2" xfId="14919" xr:uid="{BB097E31-9ACE-4E76-AC21-4A6555560745}"/>
    <cellStyle name="20% - Accent5 2 3 3 4" xfId="10613" xr:uid="{A9D093F3-7C99-438C-81BD-5DA06FFF6E87}"/>
    <cellStyle name="20% - Accent5 2 3 4" xfId="1434" xr:uid="{00000000-0005-0000-0000-0000C1050000}"/>
    <cellStyle name="20% - Accent5 2 3 4 2" xfId="3664" xr:uid="{00000000-0005-0000-0000-0000770E0000}"/>
    <cellStyle name="20% - Accent5 2 3 4 2 2" xfId="7886" xr:uid="{00000000-0005-0000-0000-0000F51E0000}"/>
    <cellStyle name="20% - Accent5 2 3 4 2 2 2" xfId="17477" xr:uid="{CE2C91C0-B48A-4BD5-8F5A-39126534C563}"/>
    <cellStyle name="20% - Accent5 2 3 4 2 3" xfId="13256" xr:uid="{4AEF576F-38CA-4CAF-BA93-FDF85CAADD7E}"/>
    <cellStyle name="20% - Accent5 2 3 4 3" xfId="5741" xr:uid="{00000000-0005-0000-0000-000094160000}"/>
    <cellStyle name="20% - Accent5 2 3 4 3 2" xfId="15332" xr:uid="{C77BBAE9-7D82-47F9-B849-E8E3D34E4F1D}"/>
    <cellStyle name="20% - Accent5 2 3 4 4" xfId="11027" xr:uid="{224A6BF7-FAA6-4970-A454-A8A8BB8A7C67}"/>
    <cellStyle name="20% - Accent5 2 3 5" xfId="1848" xr:uid="{00000000-0005-0000-0000-00005F070000}"/>
    <cellStyle name="20% - Accent5 2 3 5 2" xfId="4077" xr:uid="{00000000-0005-0000-0000-000014100000}"/>
    <cellStyle name="20% - Accent5 2 3 5 2 2" xfId="8299" xr:uid="{00000000-0005-0000-0000-000092200000}"/>
    <cellStyle name="20% - Accent5 2 3 5 2 2 2" xfId="17890" xr:uid="{2EF8E8FB-BE8B-46C5-950C-EE2C2FCBAFD2}"/>
    <cellStyle name="20% - Accent5 2 3 5 2 3" xfId="13669" xr:uid="{42F72758-0A54-4AA9-8AA3-91C366DD6E96}"/>
    <cellStyle name="20% - Accent5 2 3 5 3" xfId="6154" xr:uid="{00000000-0005-0000-0000-000031180000}"/>
    <cellStyle name="20% - Accent5 2 3 5 3 2" xfId="15745" xr:uid="{66852278-D799-4342-8681-2AA6190711A3}"/>
    <cellStyle name="20% - Accent5 2 3 5 4" xfId="11440" xr:uid="{76810BB1-7449-404C-BCF5-1363D299BE39}"/>
    <cellStyle name="20% - Accent5 2 3 6" xfId="2261" xr:uid="{00000000-0005-0000-0000-0000FC080000}"/>
    <cellStyle name="20% - Accent5 2 3 6 2" xfId="6567" xr:uid="{00000000-0005-0000-0000-0000CE190000}"/>
    <cellStyle name="20% - Accent5 2 3 6 2 2" xfId="16158" xr:uid="{4F1527F9-CA72-453E-9B19-86B48EFABA03}"/>
    <cellStyle name="20% - Accent5 2 3 6 3" xfId="11853" xr:uid="{3AB7AAA2-D4CB-4856-9ECF-923634E6555F}"/>
    <cellStyle name="20% - Accent5 2 3 7" xfId="4501" xr:uid="{00000000-0005-0000-0000-0000BC110000}"/>
    <cellStyle name="20% - Accent5 2 3 7 2" xfId="14092" xr:uid="{A459A753-5B92-4134-904B-B0BDB6D0A450}"/>
    <cellStyle name="20% - Accent5 2 3 8" xfId="8964" xr:uid="{00000000-0005-0000-0000-00002B230000}"/>
    <cellStyle name="20% - Accent5 2 3 9" xfId="9638" xr:uid="{46843D78-2B17-4A6F-AC76-13C795066A9B}"/>
    <cellStyle name="20% - Accent5 2 4" xfId="564" xr:uid="{00000000-0005-0000-0000-00005B020000}"/>
    <cellStyle name="20% - Accent5 2 4 2" xfId="2835" xr:uid="{00000000-0005-0000-0000-00003A0B0000}"/>
    <cellStyle name="20% - Accent5 2 4 2 2" xfId="7057" xr:uid="{00000000-0005-0000-0000-0000B81B0000}"/>
    <cellStyle name="20% - Accent5 2 4 2 2 2" xfId="16648" xr:uid="{D0079D69-DF66-41EB-AC0B-89F9502FF3C6}"/>
    <cellStyle name="20% - Accent5 2 4 2 3" xfId="12427" xr:uid="{120B456B-6E30-4439-ADA1-F1E72368BD78}"/>
    <cellStyle name="20% - Accent5 2 4 3" xfId="4912" xr:uid="{00000000-0005-0000-0000-000057130000}"/>
    <cellStyle name="20% - Accent5 2 4 3 2" xfId="14503" xr:uid="{E0369D01-C8A7-4A34-999F-F307A8474875}"/>
    <cellStyle name="20% - Accent5 2 4 4" xfId="9181" xr:uid="{00000000-0005-0000-0000-000004240000}"/>
    <cellStyle name="20% - Accent5 2 4 5" xfId="10157" xr:uid="{D6715480-58F1-480D-8FA6-EF56C694E1F7}"/>
    <cellStyle name="20% - Accent5 2 5" xfId="1017" xr:uid="{00000000-0005-0000-0000-000020040000}"/>
    <cellStyle name="20% - Accent5 2 5 2" xfId="3248" xr:uid="{00000000-0005-0000-0000-0000D70C0000}"/>
    <cellStyle name="20% - Accent5 2 5 2 2" xfId="7470" xr:uid="{00000000-0005-0000-0000-0000551D0000}"/>
    <cellStyle name="20% - Accent5 2 5 2 2 2" xfId="17061" xr:uid="{E1A354F8-65E9-443B-A4D9-BC114E2E90E4}"/>
    <cellStyle name="20% - Accent5 2 5 2 3" xfId="12840" xr:uid="{0BD946D2-F1C5-4A1F-8A8A-07AC22339C16}"/>
    <cellStyle name="20% - Accent5 2 5 3" xfId="5325" xr:uid="{00000000-0005-0000-0000-0000F4140000}"/>
    <cellStyle name="20% - Accent5 2 5 3 2" xfId="14916" xr:uid="{F57DE806-BEE1-4EAA-93EE-BF3384B442FE}"/>
    <cellStyle name="20% - Accent5 2 5 4" xfId="10610" xr:uid="{8F163246-D572-468F-BDD0-F347F0A072E1}"/>
    <cellStyle name="20% - Accent5 2 6" xfId="1431" xr:uid="{00000000-0005-0000-0000-0000BE050000}"/>
    <cellStyle name="20% - Accent5 2 6 2" xfId="3661" xr:uid="{00000000-0005-0000-0000-0000740E0000}"/>
    <cellStyle name="20% - Accent5 2 6 2 2" xfId="7883" xr:uid="{00000000-0005-0000-0000-0000F21E0000}"/>
    <cellStyle name="20% - Accent5 2 6 2 2 2" xfId="17474" xr:uid="{70481587-5500-4560-84E2-597E6801E949}"/>
    <cellStyle name="20% - Accent5 2 6 2 3" xfId="13253" xr:uid="{C0618309-4F14-443A-B1D3-E80A7716DFE1}"/>
    <cellStyle name="20% - Accent5 2 6 3" xfId="5738" xr:uid="{00000000-0005-0000-0000-000091160000}"/>
    <cellStyle name="20% - Accent5 2 6 3 2" xfId="15329" xr:uid="{CD62111F-E42C-4476-8202-B8411AF01540}"/>
    <cellStyle name="20% - Accent5 2 6 4" xfId="11024" xr:uid="{7BC52633-D705-47CF-9C44-EEEB01F2CD30}"/>
    <cellStyle name="20% - Accent5 2 7" xfId="1845" xr:uid="{00000000-0005-0000-0000-00005C070000}"/>
    <cellStyle name="20% - Accent5 2 7 2" xfId="4074" xr:uid="{00000000-0005-0000-0000-000011100000}"/>
    <cellStyle name="20% - Accent5 2 7 2 2" xfId="8296" xr:uid="{00000000-0005-0000-0000-00008F200000}"/>
    <cellStyle name="20% - Accent5 2 7 2 2 2" xfId="17887" xr:uid="{74B06267-0DBE-4401-A4D5-3D679F77004F}"/>
    <cellStyle name="20% - Accent5 2 7 2 3" xfId="13666" xr:uid="{78B5839B-EEAF-4A4C-8510-39BE6611E216}"/>
    <cellStyle name="20% - Accent5 2 7 3" xfId="6151" xr:uid="{00000000-0005-0000-0000-00002E180000}"/>
    <cellStyle name="20% - Accent5 2 7 3 2" xfId="15742" xr:uid="{1F4E7B2F-4B91-45A1-84D1-332F67BD9E81}"/>
    <cellStyle name="20% - Accent5 2 7 4" xfId="11437" xr:uid="{38E93E17-324D-4E83-A19E-87F4A2C933BE}"/>
    <cellStyle name="20% - Accent5 2 8" xfId="2258" xr:uid="{00000000-0005-0000-0000-0000F9080000}"/>
    <cellStyle name="20% - Accent5 2 8 2" xfId="6564" xr:uid="{00000000-0005-0000-0000-0000CB190000}"/>
    <cellStyle name="20% - Accent5 2 8 2 2" xfId="16155" xr:uid="{649FCB3D-3F26-4E39-96A7-4490D3DBA509}"/>
    <cellStyle name="20% - Accent5 2 8 3" xfId="11850" xr:uid="{B9A83332-194B-467B-8971-22651C7CE95B}"/>
    <cellStyle name="20% - Accent5 2 9" xfId="4498" xr:uid="{00000000-0005-0000-0000-0000B9110000}"/>
    <cellStyle name="20% - Accent5 2 9 2" xfId="14089" xr:uid="{E5BC54A3-986D-498F-9BDD-D637E517241C}"/>
    <cellStyle name="20% - Accent5 3" xfId="33" xr:uid="{00000000-0005-0000-0000-000026000000}"/>
    <cellStyle name="20% - Accent5 3 10" xfId="9639" xr:uid="{9725BB45-1FDF-42D3-942A-B4A5F30088F9}"/>
    <cellStyle name="20% - Accent5 3 2" xfId="34" xr:uid="{00000000-0005-0000-0000-000027000000}"/>
    <cellStyle name="20% - Accent5 3 2 2" xfId="569" xr:uid="{00000000-0005-0000-0000-000060020000}"/>
    <cellStyle name="20% - Accent5 3 2 2 2" xfId="2840" xr:uid="{00000000-0005-0000-0000-00003F0B0000}"/>
    <cellStyle name="20% - Accent5 3 2 2 2 2" xfId="7062" xr:uid="{00000000-0005-0000-0000-0000BD1B0000}"/>
    <cellStyle name="20% - Accent5 3 2 2 2 2 2" xfId="16653" xr:uid="{67A10DF2-961A-4C24-B2A5-E0AEF0AC82E2}"/>
    <cellStyle name="20% - Accent5 3 2 2 2 3" xfId="12432" xr:uid="{AE818A59-0341-4ED9-A0F1-3FE7F23D0FAE}"/>
    <cellStyle name="20% - Accent5 3 2 2 3" xfId="4917" xr:uid="{00000000-0005-0000-0000-00005C130000}"/>
    <cellStyle name="20% - Accent5 3 2 2 3 2" xfId="14508" xr:uid="{E01BF3B2-3739-44A9-A126-F64D08DCC7CE}"/>
    <cellStyle name="20% - Accent5 3 2 2 4" xfId="9462" xr:uid="{00000000-0005-0000-0000-00001D250000}"/>
    <cellStyle name="20% - Accent5 3 2 2 5" xfId="10162" xr:uid="{D540E2C6-296D-4E84-B879-C092EC91F690}"/>
    <cellStyle name="20% - Accent5 3 2 3" xfId="1022" xr:uid="{00000000-0005-0000-0000-000025040000}"/>
    <cellStyle name="20% - Accent5 3 2 3 2" xfId="3253" xr:uid="{00000000-0005-0000-0000-0000DC0C0000}"/>
    <cellStyle name="20% - Accent5 3 2 3 2 2" xfId="7475" xr:uid="{00000000-0005-0000-0000-00005A1D0000}"/>
    <cellStyle name="20% - Accent5 3 2 3 2 2 2" xfId="17066" xr:uid="{58B8CA02-5AFC-4D8F-A5B7-A84A6DE9C898}"/>
    <cellStyle name="20% - Accent5 3 2 3 2 3" xfId="12845" xr:uid="{28B78AC0-6BCA-4990-8334-6175B8AAE308}"/>
    <cellStyle name="20% - Accent5 3 2 3 3" xfId="5330" xr:uid="{00000000-0005-0000-0000-0000F9140000}"/>
    <cellStyle name="20% - Accent5 3 2 3 3 2" xfId="14921" xr:uid="{F3A36C58-E79A-4EEF-9007-A165642A9642}"/>
    <cellStyle name="20% - Accent5 3 2 3 4" xfId="10615" xr:uid="{2B68DF96-69BE-4F21-99CC-D16495AFC527}"/>
    <cellStyle name="20% - Accent5 3 2 4" xfId="1436" xr:uid="{00000000-0005-0000-0000-0000C3050000}"/>
    <cellStyle name="20% - Accent5 3 2 4 2" xfId="3666" xr:uid="{00000000-0005-0000-0000-0000790E0000}"/>
    <cellStyle name="20% - Accent5 3 2 4 2 2" xfId="7888" xr:uid="{00000000-0005-0000-0000-0000F71E0000}"/>
    <cellStyle name="20% - Accent5 3 2 4 2 2 2" xfId="17479" xr:uid="{51F875A4-4476-4542-B243-D5395E7CF1E2}"/>
    <cellStyle name="20% - Accent5 3 2 4 2 3" xfId="13258" xr:uid="{53FE7E9E-D992-4251-AE4B-50CD450DD93D}"/>
    <cellStyle name="20% - Accent5 3 2 4 3" xfId="5743" xr:uid="{00000000-0005-0000-0000-000096160000}"/>
    <cellStyle name="20% - Accent5 3 2 4 3 2" xfId="15334" xr:uid="{51B8C92C-19D9-48EF-A8A9-6915FCAD5D77}"/>
    <cellStyle name="20% - Accent5 3 2 4 4" xfId="11029" xr:uid="{43EFF82B-EC31-454C-BDB0-A3BFCA3476E0}"/>
    <cellStyle name="20% - Accent5 3 2 5" xfId="1850" xr:uid="{00000000-0005-0000-0000-000061070000}"/>
    <cellStyle name="20% - Accent5 3 2 5 2" xfId="4079" xr:uid="{00000000-0005-0000-0000-000016100000}"/>
    <cellStyle name="20% - Accent5 3 2 5 2 2" xfId="8301" xr:uid="{00000000-0005-0000-0000-000094200000}"/>
    <cellStyle name="20% - Accent5 3 2 5 2 2 2" xfId="17892" xr:uid="{B811CB9A-1C62-423E-833A-55177CDBC7A8}"/>
    <cellStyle name="20% - Accent5 3 2 5 2 3" xfId="13671" xr:uid="{739EE302-395F-4E74-B2AD-8436E984D945}"/>
    <cellStyle name="20% - Accent5 3 2 5 3" xfId="6156" xr:uid="{00000000-0005-0000-0000-000033180000}"/>
    <cellStyle name="20% - Accent5 3 2 5 3 2" xfId="15747" xr:uid="{8591BD42-65C1-4371-8AB7-A004022F5DBF}"/>
    <cellStyle name="20% - Accent5 3 2 5 4" xfId="11442" xr:uid="{8DA9EA04-FF34-45D4-BF01-6D1C3692617F}"/>
    <cellStyle name="20% - Accent5 3 2 6" xfId="2263" xr:uid="{00000000-0005-0000-0000-0000FE080000}"/>
    <cellStyle name="20% - Accent5 3 2 6 2" xfId="6569" xr:uid="{00000000-0005-0000-0000-0000D0190000}"/>
    <cellStyle name="20% - Accent5 3 2 6 2 2" xfId="16160" xr:uid="{6AA40C94-CB97-4FD6-92DE-829B5B71D0B6}"/>
    <cellStyle name="20% - Accent5 3 2 6 3" xfId="11855" xr:uid="{91585937-E823-4453-A31C-6148AE12F359}"/>
    <cellStyle name="20% - Accent5 3 2 7" xfId="4503" xr:uid="{00000000-0005-0000-0000-0000BE110000}"/>
    <cellStyle name="20% - Accent5 3 2 7 2" xfId="14094" xr:uid="{1EC6F48E-7764-4FFC-949A-942B6545606D}"/>
    <cellStyle name="20% - Accent5 3 2 8" xfId="9037" xr:uid="{00000000-0005-0000-0000-000074230000}"/>
    <cellStyle name="20% - Accent5 3 2 9" xfId="9640" xr:uid="{4EA76A09-BFF6-4E0E-8E49-9CB4763075AA}"/>
    <cellStyle name="20% - Accent5 3 3" xfId="568" xr:uid="{00000000-0005-0000-0000-00005F020000}"/>
    <cellStyle name="20% - Accent5 3 3 2" xfId="2839" xr:uid="{00000000-0005-0000-0000-00003E0B0000}"/>
    <cellStyle name="20% - Accent5 3 3 2 2" xfId="7061" xr:uid="{00000000-0005-0000-0000-0000BC1B0000}"/>
    <cellStyle name="20% - Accent5 3 3 2 2 2" xfId="16652" xr:uid="{3123C3EE-2224-4B83-811E-6332629A90E7}"/>
    <cellStyle name="20% - Accent5 3 3 2 3" xfId="12431" xr:uid="{62B4298F-B6E3-4059-87E4-2308BAB06321}"/>
    <cellStyle name="20% - Accent5 3 3 3" xfId="4916" xr:uid="{00000000-0005-0000-0000-00005B130000}"/>
    <cellStyle name="20% - Accent5 3 3 3 2" xfId="14507" xr:uid="{304180E1-7B2D-49C4-ADA5-49425CD8602D}"/>
    <cellStyle name="20% - Accent5 3 3 4" xfId="9255" xr:uid="{00000000-0005-0000-0000-00004E240000}"/>
    <cellStyle name="20% - Accent5 3 3 5" xfId="10161" xr:uid="{003F48FF-F4DF-4520-AA82-8EBC10CAFFA4}"/>
    <cellStyle name="20% - Accent5 3 4" xfId="1021" xr:uid="{00000000-0005-0000-0000-000024040000}"/>
    <cellStyle name="20% - Accent5 3 4 2" xfId="3252" xr:uid="{00000000-0005-0000-0000-0000DB0C0000}"/>
    <cellStyle name="20% - Accent5 3 4 2 2" xfId="7474" xr:uid="{00000000-0005-0000-0000-0000591D0000}"/>
    <cellStyle name="20% - Accent5 3 4 2 2 2" xfId="17065" xr:uid="{1AE626AA-9749-4B68-928B-59948429DD22}"/>
    <cellStyle name="20% - Accent5 3 4 2 3" xfId="12844" xr:uid="{42ED055A-077F-4734-9A55-03275FC3607B}"/>
    <cellStyle name="20% - Accent5 3 4 3" xfId="5329" xr:uid="{00000000-0005-0000-0000-0000F8140000}"/>
    <cellStyle name="20% - Accent5 3 4 3 2" xfId="14920" xr:uid="{4B1F0A4F-B807-477C-BB60-5782360748C3}"/>
    <cellStyle name="20% - Accent5 3 4 4" xfId="10614" xr:uid="{27A7D976-883E-4D2B-B838-04FC20D16A4D}"/>
    <cellStyle name="20% - Accent5 3 5" xfId="1435" xr:uid="{00000000-0005-0000-0000-0000C2050000}"/>
    <cellStyle name="20% - Accent5 3 5 2" xfId="3665" xr:uid="{00000000-0005-0000-0000-0000780E0000}"/>
    <cellStyle name="20% - Accent5 3 5 2 2" xfId="7887" xr:uid="{00000000-0005-0000-0000-0000F61E0000}"/>
    <cellStyle name="20% - Accent5 3 5 2 2 2" xfId="17478" xr:uid="{A2A01F19-AC54-4E43-A0A1-0E74DBDB5079}"/>
    <cellStyle name="20% - Accent5 3 5 2 3" xfId="13257" xr:uid="{28B2D5D9-25E7-472E-81E6-B087A9724794}"/>
    <cellStyle name="20% - Accent5 3 5 3" xfId="5742" xr:uid="{00000000-0005-0000-0000-000095160000}"/>
    <cellStyle name="20% - Accent5 3 5 3 2" xfId="15333" xr:uid="{2CE6C574-4FFC-4F23-AFBA-8F4A5904DC45}"/>
    <cellStyle name="20% - Accent5 3 5 4" xfId="11028" xr:uid="{E7C4CF1D-CC8D-4DED-B416-85FB93360A94}"/>
    <cellStyle name="20% - Accent5 3 6" xfId="1849" xr:uid="{00000000-0005-0000-0000-000060070000}"/>
    <cellStyle name="20% - Accent5 3 6 2" xfId="4078" xr:uid="{00000000-0005-0000-0000-000015100000}"/>
    <cellStyle name="20% - Accent5 3 6 2 2" xfId="8300" xr:uid="{00000000-0005-0000-0000-000093200000}"/>
    <cellStyle name="20% - Accent5 3 6 2 2 2" xfId="17891" xr:uid="{DF273BC2-33F9-40A7-8542-9093F2CD4744}"/>
    <cellStyle name="20% - Accent5 3 6 2 3" xfId="13670" xr:uid="{E2569C32-6E77-4CF8-9D20-37C9DCD4BEF9}"/>
    <cellStyle name="20% - Accent5 3 6 3" xfId="6155" xr:uid="{00000000-0005-0000-0000-000032180000}"/>
    <cellStyle name="20% - Accent5 3 6 3 2" xfId="15746" xr:uid="{F8F58B10-C3C9-415A-A98B-D540C6251F2D}"/>
    <cellStyle name="20% - Accent5 3 6 4" xfId="11441" xr:uid="{94DE1818-0A9E-444C-BAA5-1E867678DEAC}"/>
    <cellStyle name="20% - Accent5 3 7" xfId="2262" xr:uid="{00000000-0005-0000-0000-0000FD080000}"/>
    <cellStyle name="20% - Accent5 3 7 2" xfId="6568" xr:uid="{00000000-0005-0000-0000-0000CF190000}"/>
    <cellStyle name="20% - Accent5 3 7 2 2" xfId="16159" xr:uid="{BBFCE2C0-388C-4E7C-B3F8-75755CE207A6}"/>
    <cellStyle name="20% - Accent5 3 7 3" xfId="11854" xr:uid="{1F112DC6-0DCE-438F-835D-C8F88308B3A7}"/>
    <cellStyle name="20% - Accent5 3 8" xfId="4502" xr:uid="{00000000-0005-0000-0000-0000BD110000}"/>
    <cellStyle name="20% - Accent5 3 8 2" xfId="14093" xr:uid="{B349DA0C-C5D6-4F56-81D9-71C3CE2A367D}"/>
    <cellStyle name="20% - Accent5 3 9" xfId="8830" xr:uid="{00000000-0005-0000-0000-0000A5220000}"/>
    <cellStyle name="20% - Accent5 4" xfId="35" xr:uid="{00000000-0005-0000-0000-000028000000}"/>
    <cellStyle name="20% - Accent5 4 2" xfId="570" xr:uid="{00000000-0005-0000-0000-000061020000}"/>
    <cellStyle name="20% - Accent5 4 2 2" xfId="2841" xr:uid="{00000000-0005-0000-0000-0000400B0000}"/>
    <cellStyle name="20% - Accent5 4 2 2 2" xfId="7063" xr:uid="{00000000-0005-0000-0000-0000BE1B0000}"/>
    <cellStyle name="20% - Accent5 4 2 2 2 2" xfId="16654" xr:uid="{D1F04599-AFB9-48C5-9C50-D3955A080F18}"/>
    <cellStyle name="20% - Accent5 4 2 2 3" xfId="12433" xr:uid="{8F97D228-D3D2-4C71-A01D-46918828496A}"/>
    <cellStyle name="20% - Accent5 4 2 3" xfId="4918" xr:uid="{00000000-0005-0000-0000-00005D130000}"/>
    <cellStyle name="20% - Accent5 4 2 3 2" xfId="14509" xr:uid="{1F9BB699-F2E2-41DD-BDCE-F1E88B800987}"/>
    <cellStyle name="20% - Accent5 4 2 4" xfId="9341" xr:uid="{00000000-0005-0000-0000-0000A4240000}"/>
    <cellStyle name="20% - Accent5 4 2 5" xfId="10163" xr:uid="{F9647663-657A-404B-A8F4-C9094689A614}"/>
    <cellStyle name="20% - Accent5 4 3" xfId="1023" xr:uid="{00000000-0005-0000-0000-000026040000}"/>
    <cellStyle name="20% - Accent5 4 3 2" xfId="3254" xr:uid="{00000000-0005-0000-0000-0000DD0C0000}"/>
    <cellStyle name="20% - Accent5 4 3 2 2" xfId="7476" xr:uid="{00000000-0005-0000-0000-00005B1D0000}"/>
    <cellStyle name="20% - Accent5 4 3 2 2 2" xfId="17067" xr:uid="{44192780-D5D9-493F-B13D-B3C291518E34}"/>
    <cellStyle name="20% - Accent5 4 3 2 3" xfId="12846" xr:uid="{8E40F79F-E9CD-4E75-9050-166629569D68}"/>
    <cellStyle name="20% - Accent5 4 3 3" xfId="5331" xr:uid="{00000000-0005-0000-0000-0000FA140000}"/>
    <cellStyle name="20% - Accent5 4 3 3 2" xfId="14922" xr:uid="{B0B6F43D-23C3-43E2-9A00-8F92B3436967}"/>
    <cellStyle name="20% - Accent5 4 3 4" xfId="10616" xr:uid="{698F8550-79AA-49E5-B08E-0779A1948966}"/>
    <cellStyle name="20% - Accent5 4 4" xfId="1437" xr:uid="{00000000-0005-0000-0000-0000C4050000}"/>
    <cellStyle name="20% - Accent5 4 4 2" xfId="3667" xr:uid="{00000000-0005-0000-0000-00007A0E0000}"/>
    <cellStyle name="20% - Accent5 4 4 2 2" xfId="7889" xr:uid="{00000000-0005-0000-0000-0000F81E0000}"/>
    <cellStyle name="20% - Accent5 4 4 2 2 2" xfId="17480" xr:uid="{F2256761-F011-41EA-8CCA-F050B4D0D1A2}"/>
    <cellStyle name="20% - Accent5 4 4 2 3" xfId="13259" xr:uid="{DBBB438B-9785-4F96-B5B9-2EF1103933D7}"/>
    <cellStyle name="20% - Accent5 4 4 3" xfId="5744" xr:uid="{00000000-0005-0000-0000-000097160000}"/>
    <cellStyle name="20% - Accent5 4 4 3 2" xfId="15335" xr:uid="{CAA859A6-0A5E-42BD-B4F6-6796E7C583F9}"/>
    <cellStyle name="20% - Accent5 4 4 4" xfId="11030" xr:uid="{2A1C1453-9A39-4C72-9537-D6A1AF383DF5}"/>
    <cellStyle name="20% - Accent5 4 5" xfId="1851" xr:uid="{00000000-0005-0000-0000-000062070000}"/>
    <cellStyle name="20% - Accent5 4 5 2" xfId="4080" xr:uid="{00000000-0005-0000-0000-000017100000}"/>
    <cellStyle name="20% - Accent5 4 5 2 2" xfId="8302" xr:uid="{00000000-0005-0000-0000-000095200000}"/>
    <cellStyle name="20% - Accent5 4 5 2 2 2" xfId="17893" xr:uid="{33F5B74E-C4CB-4836-BA0C-7A2368E4A759}"/>
    <cellStyle name="20% - Accent5 4 5 2 3" xfId="13672" xr:uid="{961B520D-4E44-4977-9AB3-9B3D1D528B90}"/>
    <cellStyle name="20% - Accent5 4 5 3" xfId="6157" xr:uid="{00000000-0005-0000-0000-000034180000}"/>
    <cellStyle name="20% - Accent5 4 5 3 2" xfId="15748" xr:uid="{A1B312B4-1585-479D-A171-3B108FDF6CD5}"/>
    <cellStyle name="20% - Accent5 4 5 4" xfId="11443" xr:uid="{48367B26-7D4F-4B3F-A863-526D95D79FFB}"/>
    <cellStyle name="20% - Accent5 4 6" xfId="2264" xr:uid="{00000000-0005-0000-0000-0000FF080000}"/>
    <cellStyle name="20% - Accent5 4 6 2" xfId="6570" xr:uid="{00000000-0005-0000-0000-0000D1190000}"/>
    <cellStyle name="20% - Accent5 4 6 2 2" xfId="16161" xr:uid="{C5A9A207-A555-48EA-B847-D55994FAC103}"/>
    <cellStyle name="20% - Accent5 4 6 3" xfId="11856" xr:uid="{80CB68E1-0D00-4EC8-B122-BEBA4358D52A}"/>
    <cellStyle name="20% - Accent5 4 7" xfId="4504" xr:uid="{00000000-0005-0000-0000-0000BF110000}"/>
    <cellStyle name="20% - Accent5 4 7 2" xfId="14095" xr:uid="{D376A9F8-8BB6-46B2-BDAF-23C0DB199821}"/>
    <cellStyle name="20% - Accent5 4 8" xfId="8916" xr:uid="{00000000-0005-0000-0000-0000FB220000}"/>
    <cellStyle name="20% - Accent5 4 9" xfId="9641" xr:uid="{D8706EC3-69D7-42EB-962E-B74C6331A0B5}"/>
    <cellStyle name="20% - Accent5 5" xfId="563" xr:uid="{00000000-0005-0000-0000-00005A020000}"/>
    <cellStyle name="20% - Accent5 5 2" xfId="2834" xr:uid="{00000000-0005-0000-0000-0000390B0000}"/>
    <cellStyle name="20% - Accent5 5 2 2" xfId="7056" xr:uid="{00000000-0005-0000-0000-0000B71B0000}"/>
    <cellStyle name="20% - Accent5 5 2 2 2" xfId="16647" xr:uid="{E3883F56-1CAB-4319-A51E-F831F2E1FF52}"/>
    <cellStyle name="20% - Accent5 5 2 3" xfId="12426" xr:uid="{B590751F-AFDD-4038-A17A-0943DE1E458A}"/>
    <cellStyle name="20% - Accent5 5 3" xfId="4911" xr:uid="{00000000-0005-0000-0000-000056130000}"/>
    <cellStyle name="20% - Accent5 5 3 2" xfId="14502" xr:uid="{63601654-0C04-43AE-97D9-6BD87CD430C8}"/>
    <cellStyle name="20% - Accent5 5 4" xfId="9149" xr:uid="{00000000-0005-0000-0000-0000E4230000}"/>
    <cellStyle name="20% - Accent5 5 5" xfId="10156" xr:uid="{EAA00FBF-F397-4403-AD54-ED70D1BECD07}"/>
    <cellStyle name="20% - Accent5 6" xfId="1016" xr:uid="{00000000-0005-0000-0000-00001F040000}"/>
    <cellStyle name="20% - Accent5 6 2" xfId="3247" xr:uid="{00000000-0005-0000-0000-0000D60C0000}"/>
    <cellStyle name="20% - Accent5 6 2 2" xfId="7469" xr:uid="{00000000-0005-0000-0000-0000541D0000}"/>
    <cellStyle name="20% - Accent5 6 2 2 2" xfId="17060" xr:uid="{963E4634-D4B1-48F5-8AE4-463FAAD03AFB}"/>
    <cellStyle name="20% - Accent5 6 2 3" xfId="12839" xr:uid="{FBBF5E44-4F06-48F3-8A69-4621B3D10A8E}"/>
    <cellStyle name="20% - Accent5 6 3" xfId="5324" xr:uid="{00000000-0005-0000-0000-0000F3140000}"/>
    <cellStyle name="20% - Accent5 6 3 2" xfId="14915" xr:uid="{752C8C10-C866-4AF0-9EF8-FA28E37FA9C3}"/>
    <cellStyle name="20% - Accent5 6 4" xfId="10609" xr:uid="{9D10D72B-27B7-4DA0-B132-E0470ADDB911}"/>
    <cellStyle name="20% - Accent5 7" xfId="1430" xr:uid="{00000000-0005-0000-0000-0000BD050000}"/>
    <cellStyle name="20% - Accent5 7 2" xfId="3660" xr:uid="{00000000-0005-0000-0000-0000730E0000}"/>
    <cellStyle name="20% - Accent5 7 2 2" xfId="7882" xr:uid="{00000000-0005-0000-0000-0000F11E0000}"/>
    <cellStyle name="20% - Accent5 7 2 2 2" xfId="17473" xr:uid="{8BEDC733-9EC5-4FF4-8B99-8354A812100F}"/>
    <cellStyle name="20% - Accent5 7 2 3" xfId="13252" xr:uid="{054F03D4-DD53-4FA0-B6B7-B9D8FECC214A}"/>
    <cellStyle name="20% - Accent5 7 3" xfId="5737" xr:uid="{00000000-0005-0000-0000-000090160000}"/>
    <cellStyle name="20% - Accent5 7 3 2" xfId="15328" xr:uid="{E0B886CA-2DD7-4254-982D-5B2B9BB67DB1}"/>
    <cellStyle name="20% - Accent5 7 4" xfId="11023" xr:uid="{30177374-FF5A-4473-A542-8BE3CCCB90FB}"/>
    <cellStyle name="20% - Accent5 8" xfId="1844" xr:uid="{00000000-0005-0000-0000-00005B070000}"/>
    <cellStyle name="20% - Accent5 8 2" xfId="4073" xr:uid="{00000000-0005-0000-0000-000010100000}"/>
    <cellStyle name="20% - Accent5 8 2 2" xfId="8295" xr:uid="{00000000-0005-0000-0000-00008E200000}"/>
    <cellStyle name="20% - Accent5 8 2 2 2" xfId="17886" xr:uid="{8C9D16F6-E13C-4504-B035-E072C2C22098}"/>
    <cellStyle name="20% - Accent5 8 2 3" xfId="13665" xr:uid="{C9AAAB70-783B-4CF7-B2BD-78767988B899}"/>
    <cellStyle name="20% - Accent5 8 3" xfId="6150" xr:uid="{00000000-0005-0000-0000-00002D180000}"/>
    <cellStyle name="20% - Accent5 8 3 2" xfId="15741" xr:uid="{B6DEAA06-732D-4117-B0DF-6C6598FD782A}"/>
    <cellStyle name="20% - Accent5 8 4" xfId="11436" xr:uid="{9CBAB8F6-47F5-4370-A137-D411EA8DF1DC}"/>
    <cellStyle name="20% - Accent5 9" xfId="2257" xr:uid="{00000000-0005-0000-0000-0000F8080000}"/>
    <cellStyle name="20% - Accent5 9 2" xfId="6563" xr:uid="{00000000-0005-0000-0000-0000CA190000}"/>
    <cellStyle name="20% - Accent5 9 2 2" xfId="16154" xr:uid="{C454CAA5-25A8-4D7F-BADB-125577E905FA}"/>
    <cellStyle name="20% - Accent5 9 3" xfId="11849" xr:uid="{28CBA7D6-FDDC-4CCF-82F3-3DE81D86E893}"/>
    <cellStyle name="20% - Accent6" xfId="9604" builtinId="50" customBuiltin="1"/>
    <cellStyle name="20% - Accent6 10" xfId="4505" xr:uid="{00000000-0005-0000-0000-0000C0110000}"/>
    <cellStyle name="20% - Accent6 10 2" xfId="14096" xr:uid="{775CE4D9-59AC-4349-871B-A19F2555AD8A}"/>
    <cellStyle name="20% - Accent6 11" xfId="8729" xr:uid="{00000000-0005-0000-0000-000040220000}"/>
    <cellStyle name="20% - Accent6 2" xfId="36" xr:uid="{00000000-0005-0000-0000-00002A000000}"/>
    <cellStyle name="20% - Accent6 2 10" xfId="8756" xr:uid="{00000000-0005-0000-0000-00005B220000}"/>
    <cellStyle name="20% - Accent6 2 11" xfId="9642" xr:uid="{79A1747C-5DF0-40CC-9601-3A9F0FAC9ADD}"/>
    <cellStyle name="20% - Accent6 2 2" xfId="37" xr:uid="{00000000-0005-0000-0000-00002B000000}"/>
    <cellStyle name="20% - Accent6 2 2 10" xfId="9643" xr:uid="{F6234494-26EB-4ABD-B634-C4B2A9CC632D}"/>
    <cellStyle name="20% - Accent6 2 2 2" xfId="38" xr:uid="{00000000-0005-0000-0000-00002C000000}"/>
    <cellStyle name="20% - Accent6 2 2 2 2" xfId="574" xr:uid="{00000000-0005-0000-0000-000065020000}"/>
    <cellStyle name="20% - Accent6 2 2 2 2 2" xfId="2845" xr:uid="{00000000-0005-0000-0000-0000440B0000}"/>
    <cellStyle name="20% - Accent6 2 2 2 2 2 2" xfId="7067" xr:uid="{00000000-0005-0000-0000-0000C21B0000}"/>
    <cellStyle name="20% - Accent6 2 2 2 2 2 2 2" xfId="16658" xr:uid="{2578A33B-E571-4EC3-A318-F2C5180C7FC8}"/>
    <cellStyle name="20% - Accent6 2 2 2 2 2 3" xfId="12437" xr:uid="{7EC21510-D09E-4F54-8764-AC6705A3E23F}"/>
    <cellStyle name="20% - Accent6 2 2 2 2 3" xfId="4922" xr:uid="{00000000-0005-0000-0000-000061130000}"/>
    <cellStyle name="20% - Accent6 2 2 2 2 3 2" xfId="14513" xr:uid="{F904D321-9974-4FC5-8564-0FEA69A0374B}"/>
    <cellStyle name="20% - Accent6 2 2 2 2 4" xfId="9491" xr:uid="{00000000-0005-0000-0000-00003A250000}"/>
    <cellStyle name="20% - Accent6 2 2 2 2 5" xfId="10167" xr:uid="{1E3BCC27-D85E-4961-8F6E-4B9E3C39B418}"/>
    <cellStyle name="20% - Accent6 2 2 2 3" xfId="1027" xr:uid="{00000000-0005-0000-0000-00002A040000}"/>
    <cellStyle name="20% - Accent6 2 2 2 3 2" xfId="3258" xr:uid="{00000000-0005-0000-0000-0000E10C0000}"/>
    <cellStyle name="20% - Accent6 2 2 2 3 2 2" xfId="7480" xr:uid="{00000000-0005-0000-0000-00005F1D0000}"/>
    <cellStyle name="20% - Accent6 2 2 2 3 2 2 2" xfId="17071" xr:uid="{6385430A-37E1-4BA7-9382-0F22A3446017}"/>
    <cellStyle name="20% - Accent6 2 2 2 3 2 3" xfId="12850" xr:uid="{81F3FD88-0195-47D3-93AC-5CC44DC99115}"/>
    <cellStyle name="20% - Accent6 2 2 2 3 3" xfId="5335" xr:uid="{00000000-0005-0000-0000-0000FE140000}"/>
    <cellStyle name="20% - Accent6 2 2 2 3 3 2" xfId="14926" xr:uid="{02F898EF-9CAF-4EFE-9444-AF2F3840C51A}"/>
    <cellStyle name="20% - Accent6 2 2 2 3 4" xfId="10620" xr:uid="{3020CF86-3F99-4105-98B3-D97E21842C50}"/>
    <cellStyle name="20% - Accent6 2 2 2 4" xfId="1441" xr:uid="{00000000-0005-0000-0000-0000C8050000}"/>
    <cellStyle name="20% - Accent6 2 2 2 4 2" xfId="3671" xr:uid="{00000000-0005-0000-0000-00007E0E0000}"/>
    <cellStyle name="20% - Accent6 2 2 2 4 2 2" xfId="7893" xr:uid="{00000000-0005-0000-0000-0000FC1E0000}"/>
    <cellStyle name="20% - Accent6 2 2 2 4 2 2 2" xfId="17484" xr:uid="{3455718A-9E9C-4559-8285-46E75935A869}"/>
    <cellStyle name="20% - Accent6 2 2 2 4 2 3" xfId="13263" xr:uid="{2266E971-3FA8-4363-B890-0F5178A90384}"/>
    <cellStyle name="20% - Accent6 2 2 2 4 3" xfId="5748" xr:uid="{00000000-0005-0000-0000-00009B160000}"/>
    <cellStyle name="20% - Accent6 2 2 2 4 3 2" xfId="15339" xr:uid="{B1F1EC50-F838-413B-B0AB-52AA2CCE054D}"/>
    <cellStyle name="20% - Accent6 2 2 2 4 4" xfId="11034" xr:uid="{72CE5554-F849-46D7-9462-F7A54A6159F9}"/>
    <cellStyle name="20% - Accent6 2 2 2 5" xfId="1855" xr:uid="{00000000-0005-0000-0000-000066070000}"/>
    <cellStyle name="20% - Accent6 2 2 2 5 2" xfId="4084" xr:uid="{00000000-0005-0000-0000-00001B100000}"/>
    <cellStyle name="20% - Accent6 2 2 2 5 2 2" xfId="8306" xr:uid="{00000000-0005-0000-0000-000099200000}"/>
    <cellStyle name="20% - Accent6 2 2 2 5 2 2 2" xfId="17897" xr:uid="{FBE61A61-A0DF-478F-98D8-BF3C2A66771E}"/>
    <cellStyle name="20% - Accent6 2 2 2 5 2 3" xfId="13676" xr:uid="{7FA47F08-2EEB-4FAC-BF3F-6C4B9165F55A}"/>
    <cellStyle name="20% - Accent6 2 2 2 5 3" xfId="6161" xr:uid="{00000000-0005-0000-0000-000038180000}"/>
    <cellStyle name="20% - Accent6 2 2 2 5 3 2" xfId="15752" xr:uid="{43E7DEC2-D07E-486D-931A-0EEFBD24B41E}"/>
    <cellStyle name="20% - Accent6 2 2 2 5 4" xfId="11447" xr:uid="{CF224246-265C-4A5B-A5D2-B0DBA384021A}"/>
    <cellStyle name="20% - Accent6 2 2 2 6" xfId="2268" xr:uid="{00000000-0005-0000-0000-000003090000}"/>
    <cellStyle name="20% - Accent6 2 2 2 6 2" xfId="6574" xr:uid="{00000000-0005-0000-0000-0000D5190000}"/>
    <cellStyle name="20% - Accent6 2 2 2 6 2 2" xfId="16165" xr:uid="{731C59BA-182F-49C8-A282-AD1C8A4441BA}"/>
    <cellStyle name="20% - Accent6 2 2 2 6 3" xfId="11860" xr:uid="{CC60E5B9-317A-4623-8F2D-64A39C9EB0CA}"/>
    <cellStyle name="20% - Accent6 2 2 2 7" xfId="4508" xr:uid="{00000000-0005-0000-0000-0000C3110000}"/>
    <cellStyle name="20% - Accent6 2 2 2 7 2" xfId="14099" xr:uid="{6FCA1647-B2E8-4E92-9E8A-DDCE06045E92}"/>
    <cellStyle name="20% - Accent6 2 2 2 8" xfId="9066" xr:uid="{00000000-0005-0000-0000-000091230000}"/>
    <cellStyle name="20% - Accent6 2 2 2 9" xfId="9644" xr:uid="{92A84557-E0F3-480C-97A3-7785879C4DA8}"/>
    <cellStyle name="20% - Accent6 2 2 3" xfId="573" xr:uid="{00000000-0005-0000-0000-000064020000}"/>
    <cellStyle name="20% - Accent6 2 2 3 2" xfId="2844" xr:uid="{00000000-0005-0000-0000-0000430B0000}"/>
    <cellStyle name="20% - Accent6 2 2 3 2 2" xfId="7066" xr:uid="{00000000-0005-0000-0000-0000C11B0000}"/>
    <cellStyle name="20% - Accent6 2 2 3 2 2 2" xfId="16657" xr:uid="{CA3223DD-64C1-448D-B015-AD9983495C9D}"/>
    <cellStyle name="20% - Accent6 2 2 3 2 3" xfId="12436" xr:uid="{8A3F83F7-E94B-4A53-8021-4A4AB6E908A5}"/>
    <cellStyle name="20% - Accent6 2 2 3 3" xfId="4921" xr:uid="{00000000-0005-0000-0000-000060130000}"/>
    <cellStyle name="20% - Accent6 2 2 3 3 2" xfId="14512" xr:uid="{41C3CE37-ABF3-4A54-94BC-BBDFB1812559}"/>
    <cellStyle name="20% - Accent6 2 2 3 4" xfId="9284" xr:uid="{00000000-0005-0000-0000-00006B240000}"/>
    <cellStyle name="20% - Accent6 2 2 3 5" xfId="10166" xr:uid="{8CE83DA7-2BF4-41A8-98D2-A89699A06C9C}"/>
    <cellStyle name="20% - Accent6 2 2 4" xfId="1026" xr:uid="{00000000-0005-0000-0000-000029040000}"/>
    <cellStyle name="20% - Accent6 2 2 4 2" xfId="3257" xr:uid="{00000000-0005-0000-0000-0000E00C0000}"/>
    <cellStyle name="20% - Accent6 2 2 4 2 2" xfId="7479" xr:uid="{00000000-0005-0000-0000-00005E1D0000}"/>
    <cellStyle name="20% - Accent6 2 2 4 2 2 2" xfId="17070" xr:uid="{180C6068-562F-442C-BF16-3D7C014983E3}"/>
    <cellStyle name="20% - Accent6 2 2 4 2 3" xfId="12849" xr:uid="{AD7C9845-B009-4032-A68A-0D23E332DE3D}"/>
    <cellStyle name="20% - Accent6 2 2 4 3" xfId="5334" xr:uid="{00000000-0005-0000-0000-0000FD140000}"/>
    <cellStyle name="20% - Accent6 2 2 4 3 2" xfId="14925" xr:uid="{D9C63035-A664-4307-9B63-A860AD98CE56}"/>
    <cellStyle name="20% - Accent6 2 2 4 4" xfId="10619" xr:uid="{F8D3519E-C384-42BE-9831-BEA300FB316E}"/>
    <cellStyle name="20% - Accent6 2 2 5" xfId="1440" xr:uid="{00000000-0005-0000-0000-0000C7050000}"/>
    <cellStyle name="20% - Accent6 2 2 5 2" xfId="3670" xr:uid="{00000000-0005-0000-0000-00007D0E0000}"/>
    <cellStyle name="20% - Accent6 2 2 5 2 2" xfId="7892" xr:uid="{00000000-0005-0000-0000-0000FB1E0000}"/>
    <cellStyle name="20% - Accent6 2 2 5 2 2 2" xfId="17483" xr:uid="{7DE7C0BD-C0A0-48DD-9214-A582B8EF1CF7}"/>
    <cellStyle name="20% - Accent6 2 2 5 2 3" xfId="13262" xr:uid="{D2DD0A1C-BF07-4C14-93DF-7B551E1C1A62}"/>
    <cellStyle name="20% - Accent6 2 2 5 3" xfId="5747" xr:uid="{00000000-0005-0000-0000-00009A160000}"/>
    <cellStyle name="20% - Accent6 2 2 5 3 2" xfId="15338" xr:uid="{A3903751-48CF-4327-AE41-66AFD8852512}"/>
    <cellStyle name="20% - Accent6 2 2 5 4" xfId="11033" xr:uid="{79521CC9-00C8-42E3-ADFB-779103323BB9}"/>
    <cellStyle name="20% - Accent6 2 2 6" xfId="1854" xr:uid="{00000000-0005-0000-0000-000065070000}"/>
    <cellStyle name="20% - Accent6 2 2 6 2" xfId="4083" xr:uid="{00000000-0005-0000-0000-00001A100000}"/>
    <cellStyle name="20% - Accent6 2 2 6 2 2" xfId="8305" xr:uid="{00000000-0005-0000-0000-000098200000}"/>
    <cellStyle name="20% - Accent6 2 2 6 2 2 2" xfId="17896" xr:uid="{8D35A91F-8DF5-4052-8A1E-07D9E240D268}"/>
    <cellStyle name="20% - Accent6 2 2 6 2 3" xfId="13675" xr:uid="{7AAE88D6-D3F1-49B6-B93A-B83601CAE4A2}"/>
    <cellStyle name="20% - Accent6 2 2 6 3" xfId="6160" xr:uid="{00000000-0005-0000-0000-000037180000}"/>
    <cellStyle name="20% - Accent6 2 2 6 3 2" xfId="15751" xr:uid="{1E0E866C-FFE5-4AF7-AD12-9B4AF939CD13}"/>
    <cellStyle name="20% - Accent6 2 2 6 4" xfId="11446" xr:uid="{C7BD0286-1306-43C8-AD60-E9E99D5264B0}"/>
    <cellStyle name="20% - Accent6 2 2 7" xfId="2267" xr:uid="{00000000-0005-0000-0000-000002090000}"/>
    <cellStyle name="20% - Accent6 2 2 7 2" xfId="6573" xr:uid="{00000000-0005-0000-0000-0000D4190000}"/>
    <cellStyle name="20% - Accent6 2 2 7 2 2" xfId="16164" xr:uid="{48185AD4-4A3F-46B7-AE3F-0B8CC00DFADD}"/>
    <cellStyle name="20% - Accent6 2 2 7 3" xfId="11859" xr:uid="{8A56D154-10DA-42C5-8C30-14F942D4D7FC}"/>
    <cellStyle name="20% - Accent6 2 2 8" xfId="4507" xr:uid="{00000000-0005-0000-0000-0000C2110000}"/>
    <cellStyle name="20% - Accent6 2 2 8 2" xfId="14098" xr:uid="{73543E35-7F59-4C0D-813D-D486B34AAFA7}"/>
    <cellStyle name="20% - Accent6 2 2 9" xfId="8859" xr:uid="{00000000-0005-0000-0000-0000C2220000}"/>
    <cellStyle name="20% - Accent6 2 3" xfId="39" xr:uid="{00000000-0005-0000-0000-00002D000000}"/>
    <cellStyle name="20% - Accent6 2 3 2" xfId="575" xr:uid="{00000000-0005-0000-0000-000066020000}"/>
    <cellStyle name="20% - Accent6 2 3 2 2" xfId="2846" xr:uid="{00000000-0005-0000-0000-0000450B0000}"/>
    <cellStyle name="20% - Accent6 2 3 2 2 2" xfId="7068" xr:uid="{00000000-0005-0000-0000-0000C31B0000}"/>
    <cellStyle name="20% - Accent6 2 3 2 2 2 2" xfId="16659" xr:uid="{2E7A9A33-49FE-4C12-8E28-48B9850AAD51}"/>
    <cellStyle name="20% - Accent6 2 3 2 2 3" xfId="12438" xr:uid="{BC85A2E2-0DA4-4FC1-958A-312FFB27C662}"/>
    <cellStyle name="20% - Accent6 2 3 2 3" xfId="4923" xr:uid="{00000000-0005-0000-0000-000062130000}"/>
    <cellStyle name="20% - Accent6 2 3 2 3 2" xfId="14514" xr:uid="{0AED20E7-CA37-4F97-9AE1-7DED5A468261}"/>
    <cellStyle name="20% - Accent6 2 3 2 4" xfId="9388" xr:uid="{00000000-0005-0000-0000-0000D3240000}"/>
    <cellStyle name="20% - Accent6 2 3 2 5" xfId="10168" xr:uid="{ECFD26F9-A920-47C9-92A7-239B20DFD8A0}"/>
    <cellStyle name="20% - Accent6 2 3 3" xfId="1028" xr:uid="{00000000-0005-0000-0000-00002B040000}"/>
    <cellStyle name="20% - Accent6 2 3 3 2" xfId="3259" xr:uid="{00000000-0005-0000-0000-0000E20C0000}"/>
    <cellStyle name="20% - Accent6 2 3 3 2 2" xfId="7481" xr:uid="{00000000-0005-0000-0000-0000601D0000}"/>
    <cellStyle name="20% - Accent6 2 3 3 2 2 2" xfId="17072" xr:uid="{4C0CE6E9-1DFF-4B2C-BF19-D5E57936E87F}"/>
    <cellStyle name="20% - Accent6 2 3 3 2 3" xfId="12851" xr:uid="{EFEDF490-7E5B-48C7-9FAC-1D8516C31F40}"/>
    <cellStyle name="20% - Accent6 2 3 3 3" xfId="5336" xr:uid="{00000000-0005-0000-0000-0000FF140000}"/>
    <cellStyle name="20% - Accent6 2 3 3 3 2" xfId="14927" xr:uid="{F6EC7A1E-366C-4E3D-93D9-6AECC1DF85E6}"/>
    <cellStyle name="20% - Accent6 2 3 3 4" xfId="10621" xr:uid="{A407E575-1830-404B-9165-8D88AD465C46}"/>
    <cellStyle name="20% - Accent6 2 3 4" xfId="1442" xr:uid="{00000000-0005-0000-0000-0000C9050000}"/>
    <cellStyle name="20% - Accent6 2 3 4 2" xfId="3672" xr:uid="{00000000-0005-0000-0000-00007F0E0000}"/>
    <cellStyle name="20% - Accent6 2 3 4 2 2" xfId="7894" xr:uid="{00000000-0005-0000-0000-0000FD1E0000}"/>
    <cellStyle name="20% - Accent6 2 3 4 2 2 2" xfId="17485" xr:uid="{E78887B7-72B1-4ED7-9F70-423206F0F82B}"/>
    <cellStyle name="20% - Accent6 2 3 4 2 3" xfId="13264" xr:uid="{8BA2CCA6-C2F2-480B-BEE2-56D2924DA0F8}"/>
    <cellStyle name="20% - Accent6 2 3 4 3" xfId="5749" xr:uid="{00000000-0005-0000-0000-00009C160000}"/>
    <cellStyle name="20% - Accent6 2 3 4 3 2" xfId="15340" xr:uid="{5096A762-D84D-4AE6-99EA-5416BA3A4967}"/>
    <cellStyle name="20% - Accent6 2 3 4 4" xfId="11035" xr:uid="{F8329496-CB50-479D-9B2D-A3969EC1900A}"/>
    <cellStyle name="20% - Accent6 2 3 5" xfId="1856" xr:uid="{00000000-0005-0000-0000-000067070000}"/>
    <cellStyle name="20% - Accent6 2 3 5 2" xfId="4085" xr:uid="{00000000-0005-0000-0000-00001C100000}"/>
    <cellStyle name="20% - Accent6 2 3 5 2 2" xfId="8307" xr:uid="{00000000-0005-0000-0000-00009A200000}"/>
    <cellStyle name="20% - Accent6 2 3 5 2 2 2" xfId="17898" xr:uid="{96153011-24F8-412E-AAD5-0C74786D49DC}"/>
    <cellStyle name="20% - Accent6 2 3 5 2 3" xfId="13677" xr:uid="{A7ECE09C-16B6-4F07-BD7F-D9AD3788F67E}"/>
    <cellStyle name="20% - Accent6 2 3 5 3" xfId="6162" xr:uid="{00000000-0005-0000-0000-000039180000}"/>
    <cellStyle name="20% - Accent6 2 3 5 3 2" xfId="15753" xr:uid="{1AE69EFD-29A5-4ADC-B2A5-58711487EC0F}"/>
    <cellStyle name="20% - Accent6 2 3 5 4" xfId="11448" xr:uid="{98C33D65-E738-4B4E-A579-EAD899C5D729}"/>
    <cellStyle name="20% - Accent6 2 3 6" xfId="2269" xr:uid="{00000000-0005-0000-0000-000004090000}"/>
    <cellStyle name="20% - Accent6 2 3 6 2" xfId="6575" xr:uid="{00000000-0005-0000-0000-0000D6190000}"/>
    <cellStyle name="20% - Accent6 2 3 6 2 2" xfId="16166" xr:uid="{40A5C5DC-95E5-4E58-9CF6-CF0B225F5EC0}"/>
    <cellStyle name="20% - Accent6 2 3 6 3" xfId="11861" xr:uid="{CDE3AA2E-B6A0-4D6B-BD3E-CC3C7859A9D8}"/>
    <cellStyle name="20% - Accent6 2 3 7" xfId="4509" xr:uid="{00000000-0005-0000-0000-0000C4110000}"/>
    <cellStyle name="20% - Accent6 2 3 7 2" xfId="14100" xr:uid="{8A30C49E-6FF6-4D3B-B383-A5D400A5FE1C}"/>
    <cellStyle name="20% - Accent6 2 3 8" xfId="8963" xr:uid="{00000000-0005-0000-0000-00002A230000}"/>
    <cellStyle name="20% - Accent6 2 3 9" xfId="9645" xr:uid="{D121991C-E40C-46B5-862D-0707F2F28A62}"/>
    <cellStyle name="20% - Accent6 2 4" xfId="572" xr:uid="{00000000-0005-0000-0000-000063020000}"/>
    <cellStyle name="20% - Accent6 2 4 2" xfId="2843" xr:uid="{00000000-0005-0000-0000-0000420B0000}"/>
    <cellStyle name="20% - Accent6 2 4 2 2" xfId="7065" xr:uid="{00000000-0005-0000-0000-0000C01B0000}"/>
    <cellStyle name="20% - Accent6 2 4 2 2 2" xfId="16656" xr:uid="{E07FC607-C203-45AE-A1F7-99B17CE61673}"/>
    <cellStyle name="20% - Accent6 2 4 2 3" xfId="12435" xr:uid="{61405B29-AF01-4CB6-982B-177B41E505E9}"/>
    <cellStyle name="20% - Accent6 2 4 3" xfId="4920" xr:uid="{00000000-0005-0000-0000-00005F130000}"/>
    <cellStyle name="20% - Accent6 2 4 3 2" xfId="14511" xr:uid="{445C6913-541A-474B-AE2D-BDBD036778A8}"/>
    <cellStyle name="20% - Accent6 2 4 4" xfId="9180" xr:uid="{00000000-0005-0000-0000-000003240000}"/>
    <cellStyle name="20% - Accent6 2 4 5" xfId="10165" xr:uid="{E333A384-4609-4AFB-A908-36341F09EA79}"/>
    <cellStyle name="20% - Accent6 2 5" xfId="1025" xr:uid="{00000000-0005-0000-0000-000028040000}"/>
    <cellStyle name="20% - Accent6 2 5 2" xfId="3256" xr:uid="{00000000-0005-0000-0000-0000DF0C0000}"/>
    <cellStyle name="20% - Accent6 2 5 2 2" xfId="7478" xr:uid="{00000000-0005-0000-0000-00005D1D0000}"/>
    <cellStyle name="20% - Accent6 2 5 2 2 2" xfId="17069" xr:uid="{C933C829-D11C-4A1B-8F3D-06FC07A4887A}"/>
    <cellStyle name="20% - Accent6 2 5 2 3" xfId="12848" xr:uid="{4A513924-43FD-4D3F-A5C8-F9FF7ABF8FA3}"/>
    <cellStyle name="20% - Accent6 2 5 3" xfId="5333" xr:uid="{00000000-0005-0000-0000-0000FC140000}"/>
    <cellStyle name="20% - Accent6 2 5 3 2" xfId="14924" xr:uid="{556664E7-9A46-4655-8604-935B71A15F7C}"/>
    <cellStyle name="20% - Accent6 2 5 4" xfId="10618" xr:uid="{8C24F5E4-AB8D-435C-BE3E-24BBFA63F891}"/>
    <cellStyle name="20% - Accent6 2 6" xfId="1439" xr:uid="{00000000-0005-0000-0000-0000C6050000}"/>
    <cellStyle name="20% - Accent6 2 6 2" xfId="3669" xr:uid="{00000000-0005-0000-0000-00007C0E0000}"/>
    <cellStyle name="20% - Accent6 2 6 2 2" xfId="7891" xr:uid="{00000000-0005-0000-0000-0000FA1E0000}"/>
    <cellStyle name="20% - Accent6 2 6 2 2 2" xfId="17482" xr:uid="{244A0B05-9DC3-47A1-A622-C3542EEC789C}"/>
    <cellStyle name="20% - Accent6 2 6 2 3" xfId="13261" xr:uid="{3C66E304-8BFC-476C-A988-E335E6D79BEE}"/>
    <cellStyle name="20% - Accent6 2 6 3" xfId="5746" xr:uid="{00000000-0005-0000-0000-000099160000}"/>
    <cellStyle name="20% - Accent6 2 6 3 2" xfId="15337" xr:uid="{FE3BF09C-9F26-40AB-87DB-3026E3C899A0}"/>
    <cellStyle name="20% - Accent6 2 6 4" xfId="11032" xr:uid="{D40886B8-17D3-49F8-89E9-564AD0ADC7C3}"/>
    <cellStyle name="20% - Accent6 2 7" xfId="1853" xr:uid="{00000000-0005-0000-0000-000064070000}"/>
    <cellStyle name="20% - Accent6 2 7 2" xfId="4082" xr:uid="{00000000-0005-0000-0000-000019100000}"/>
    <cellStyle name="20% - Accent6 2 7 2 2" xfId="8304" xr:uid="{00000000-0005-0000-0000-000097200000}"/>
    <cellStyle name="20% - Accent6 2 7 2 2 2" xfId="17895" xr:uid="{75DDB527-984A-49E1-8CA2-8D4B38CD3DB2}"/>
    <cellStyle name="20% - Accent6 2 7 2 3" xfId="13674" xr:uid="{F516E662-14CC-4009-8AD8-9E654EA076A4}"/>
    <cellStyle name="20% - Accent6 2 7 3" xfId="6159" xr:uid="{00000000-0005-0000-0000-000036180000}"/>
    <cellStyle name="20% - Accent6 2 7 3 2" xfId="15750" xr:uid="{5B90EA8E-0F22-4608-BFE4-09BB89BA98A2}"/>
    <cellStyle name="20% - Accent6 2 7 4" xfId="11445" xr:uid="{43F5CEC5-1C8F-4327-A29E-705898DD0550}"/>
    <cellStyle name="20% - Accent6 2 8" xfId="2266" xr:uid="{00000000-0005-0000-0000-000001090000}"/>
    <cellStyle name="20% - Accent6 2 8 2" xfId="6572" xr:uid="{00000000-0005-0000-0000-0000D3190000}"/>
    <cellStyle name="20% - Accent6 2 8 2 2" xfId="16163" xr:uid="{533F9AA1-3327-4416-82DA-BA006D221E5F}"/>
    <cellStyle name="20% - Accent6 2 8 3" xfId="11858" xr:uid="{A418083C-2B62-42CD-94F0-21FD8036D31E}"/>
    <cellStyle name="20% - Accent6 2 9" xfId="4506" xr:uid="{00000000-0005-0000-0000-0000C1110000}"/>
    <cellStyle name="20% - Accent6 2 9 2" xfId="14097" xr:uid="{68764EC0-78E0-4E1E-9136-DCF6D4A106DC}"/>
    <cellStyle name="20% - Accent6 3" xfId="40" xr:uid="{00000000-0005-0000-0000-00002E000000}"/>
    <cellStyle name="20% - Accent6 3 10" xfId="9646" xr:uid="{216CF508-043E-48AC-B224-0CC4B009000B}"/>
    <cellStyle name="20% - Accent6 3 2" xfId="41" xr:uid="{00000000-0005-0000-0000-00002F000000}"/>
    <cellStyle name="20% - Accent6 3 2 2" xfId="577" xr:uid="{00000000-0005-0000-0000-000068020000}"/>
    <cellStyle name="20% - Accent6 3 2 2 2" xfId="2848" xr:uid="{00000000-0005-0000-0000-0000470B0000}"/>
    <cellStyle name="20% - Accent6 3 2 2 2 2" xfId="7070" xr:uid="{00000000-0005-0000-0000-0000C51B0000}"/>
    <cellStyle name="20% - Accent6 3 2 2 2 2 2" xfId="16661" xr:uid="{433042C8-917B-45DB-A33E-6C331186D6ED}"/>
    <cellStyle name="20% - Accent6 3 2 2 2 3" xfId="12440" xr:uid="{7F433774-D6A4-4B18-9A38-5F9B5D5933CA}"/>
    <cellStyle name="20% - Accent6 3 2 2 3" xfId="4925" xr:uid="{00000000-0005-0000-0000-000064130000}"/>
    <cellStyle name="20% - Accent6 3 2 2 3 2" xfId="14516" xr:uid="{1F53745E-ABBF-40CB-8078-FF6A77678A85}"/>
    <cellStyle name="20% - Accent6 3 2 2 4" xfId="9464" xr:uid="{00000000-0005-0000-0000-00001F250000}"/>
    <cellStyle name="20% - Accent6 3 2 2 5" xfId="10170" xr:uid="{57A7B3C3-7474-407C-84C6-B1D0201343B7}"/>
    <cellStyle name="20% - Accent6 3 2 3" xfId="1030" xr:uid="{00000000-0005-0000-0000-00002D040000}"/>
    <cellStyle name="20% - Accent6 3 2 3 2" xfId="3261" xr:uid="{00000000-0005-0000-0000-0000E40C0000}"/>
    <cellStyle name="20% - Accent6 3 2 3 2 2" xfId="7483" xr:uid="{00000000-0005-0000-0000-0000621D0000}"/>
    <cellStyle name="20% - Accent6 3 2 3 2 2 2" xfId="17074" xr:uid="{23EF2A28-544A-42A8-90DC-F4913F47B6B2}"/>
    <cellStyle name="20% - Accent6 3 2 3 2 3" xfId="12853" xr:uid="{D54BC756-D331-4DB0-B347-87A274124C9A}"/>
    <cellStyle name="20% - Accent6 3 2 3 3" xfId="5338" xr:uid="{00000000-0005-0000-0000-000001150000}"/>
    <cellStyle name="20% - Accent6 3 2 3 3 2" xfId="14929" xr:uid="{24D1704B-25B9-434A-9399-214F6AACD97E}"/>
    <cellStyle name="20% - Accent6 3 2 3 4" xfId="10623" xr:uid="{58BC5DDB-3ABB-40A9-9431-5C7236827975}"/>
    <cellStyle name="20% - Accent6 3 2 4" xfId="1444" xr:uid="{00000000-0005-0000-0000-0000CB050000}"/>
    <cellStyle name="20% - Accent6 3 2 4 2" xfId="3674" xr:uid="{00000000-0005-0000-0000-0000810E0000}"/>
    <cellStyle name="20% - Accent6 3 2 4 2 2" xfId="7896" xr:uid="{00000000-0005-0000-0000-0000FF1E0000}"/>
    <cellStyle name="20% - Accent6 3 2 4 2 2 2" xfId="17487" xr:uid="{47289FAA-172E-4976-95FF-71AB707FFB0A}"/>
    <cellStyle name="20% - Accent6 3 2 4 2 3" xfId="13266" xr:uid="{D7B20727-269D-4618-8E13-11C939A26CAE}"/>
    <cellStyle name="20% - Accent6 3 2 4 3" xfId="5751" xr:uid="{00000000-0005-0000-0000-00009E160000}"/>
    <cellStyle name="20% - Accent6 3 2 4 3 2" xfId="15342" xr:uid="{473BA7B3-82E8-45BD-B5FF-9B4785A57717}"/>
    <cellStyle name="20% - Accent6 3 2 4 4" xfId="11037" xr:uid="{4CF4DE70-10E6-4EA6-96F1-20D407BFF5DF}"/>
    <cellStyle name="20% - Accent6 3 2 5" xfId="1858" xr:uid="{00000000-0005-0000-0000-000069070000}"/>
    <cellStyle name="20% - Accent6 3 2 5 2" xfId="4087" xr:uid="{00000000-0005-0000-0000-00001E100000}"/>
    <cellStyle name="20% - Accent6 3 2 5 2 2" xfId="8309" xr:uid="{00000000-0005-0000-0000-00009C200000}"/>
    <cellStyle name="20% - Accent6 3 2 5 2 2 2" xfId="17900" xr:uid="{F35AD332-965C-457B-85E8-2EFEF0E0D924}"/>
    <cellStyle name="20% - Accent6 3 2 5 2 3" xfId="13679" xr:uid="{1D32533A-FE40-4821-A50C-8F365D6D5D68}"/>
    <cellStyle name="20% - Accent6 3 2 5 3" xfId="6164" xr:uid="{00000000-0005-0000-0000-00003B180000}"/>
    <cellStyle name="20% - Accent6 3 2 5 3 2" xfId="15755" xr:uid="{60FE9F5D-6ACA-4AC8-8555-D47F1B530183}"/>
    <cellStyle name="20% - Accent6 3 2 5 4" xfId="11450" xr:uid="{A341CE22-F51F-4DD9-BD61-F315C9385A86}"/>
    <cellStyle name="20% - Accent6 3 2 6" xfId="2271" xr:uid="{00000000-0005-0000-0000-000006090000}"/>
    <cellStyle name="20% - Accent6 3 2 6 2" xfId="6577" xr:uid="{00000000-0005-0000-0000-0000D8190000}"/>
    <cellStyle name="20% - Accent6 3 2 6 2 2" xfId="16168" xr:uid="{6E7E4F05-4D86-4C1F-8547-C29CA7AE6901}"/>
    <cellStyle name="20% - Accent6 3 2 6 3" xfId="11863" xr:uid="{919EE1BC-E73C-47D6-A5E9-473CC3FA4436}"/>
    <cellStyle name="20% - Accent6 3 2 7" xfId="4511" xr:uid="{00000000-0005-0000-0000-0000C6110000}"/>
    <cellStyle name="20% - Accent6 3 2 7 2" xfId="14102" xr:uid="{1F21C3B6-0739-4B00-8C7C-16A6AF17E1CC}"/>
    <cellStyle name="20% - Accent6 3 2 8" xfId="9039" xr:uid="{00000000-0005-0000-0000-000076230000}"/>
    <cellStyle name="20% - Accent6 3 2 9" xfId="9647" xr:uid="{F098B877-AC02-4196-B891-1AD95A99A066}"/>
    <cellStyle name="20% - Accent6 3 3" xfId="576" xr:uid="{00000000-0005-0000-0000-000067020000}"/>
    <cellStyle name="20% - Accent6 3 3 2" xfId="2847" xr:uid="{00000000-0005-0000-0000-0000460B0000}"/>
    <cellStyle name="20% - Accent6 3 3 2 2" xfId="7069" xr:uid="{00000000-0005-0000-0000-0000C41B0000}"/>
    <cellStyle name="20% - Accent6 3 3 2 2 2" xfId="16660" xr:uid="{2070CC66-696A-4C91-BD87-DFED8221332B}"/>
    <cellStyle name="20% - Accent6 3 3 2 3" xfId="12439" xr:uid="{E9087997-C401-4BCB-820C-4EF700915EEA}"/>
    <cellStyle name="20% - Accent6 3 3 3" xfId="4924" xr:uid="{00000000-0005-0000-0000-000063130000}"/>
    <cellStyle name="20% - Accent6 3 3 3 2" xfId="14515" xr:uid="{7C58B59C-2AFA-4E34-83EA-66DBCAAB1482}"/>
    <cellStyle name="20% - Accent6 3 3 4" xfId="9257" xr:uid="{00000000-0005-0000-0000-000050240000}"/>
    <cellStyle name="20% - Accent6 3 3 5" xfId="10169" xr:uid="{FA2FFE40-D6EF-493E-BB71-49E3FFBC2E89}"/>
    <cellStyle name="20% - Accent6 3 4" xfId="1029" xr:uid="{00000000-0005-0000-0000-00002C040000}"/>
    <cellStyle name="20% - Accent6 3 4 2" xfId="3260" xr:uid="{00000000-0005-0000-0000-0000E30C0000}"/>
    <cellStyle name="20% - Accent6 3 4 2 2" xfId="7482" xr:uid="{00000000-0005-0000-0000-0000611D0000}"/>
    <cellStyle name="20% - Accent6 3 4 2 2 2" xfId="17073" xr:uid="{40AC3979-1254-4C36-82A1-BDF37F384012}"/>
    <cellStyle name="20% - Accent6 3 4 2 3" xfId="12852" xr:uid="{3CF5A5A2-A594-45DB-941F-E736DB99788D}"/>
    <cellStyle name="20% - Accent6 3 4 3" xfId="5337" xr:uid="{00000000-0005-0000-0000-000000150000}"/>
    <cellStyle name="20% - Accent6 3 4 3 2" xfId="14928" xr:uid="{14296CEC-3212-401D-8B58-22B6B8CE5E8A}"/>
    <cellStyle name="20% - Accent6 3 4 4" xfId="10622" xr:uid="{FD0A7FE5-3624-48D1-8705-F84E0DDA8DA8}"/>
    <cellStyle name="20% - Accent6 3 5" xfId="1443" xr:uid="{00000000-0005-0000-0000-0000CA050000}"/>
    <cellStyle name="20% - Accent6 3 5 2" xfId="3673" xr:uid="{00000000-0005-0000-0000-0000800E0000}"/>
    <cellStyle name="20% - Accent6 3 5 2 2" xfId="7895" xr:uid="{00000000-0005-0000-0000-0000FE1E0000}"/>
    <cellStyle name="20% - Accent6 3 5 2 2 2" xfId="17486" xr:uid="{3A95987A-C6B9-4BA9-B7D5-EEE8099E9E57}"/>
    <cellStyle name="20% - Accent6 3 5 2 3" xfId="13265" xr:uid="{62B38EE6-F450-4777-9B0D-A4D04E614165}"/>
    <cellStyle name="20% - Accent6 3 5 3" xfId="5750" xr:uid="{00000000-0005-0000-0000-00009D160000}"/>
    <cellStyle name="20% - Accent6 3 5 3 2" xfId="15341" xr:uid="{673BCFC1-419F-480A-9C5D-74C8BADC986A}"/>
    <cellStyle name="20% - Accent6 3 5 4" xfId="11036" xr:uid="{37521D1F-7098-4844-B38E-51BF9FFFD8AB}"/>
    <cellStyle name="20% - Accent6 3 6" xfId="1857" xr:uid="{00000000-0005-0000-0000-000068070000}"/>
    <cellStyle name="20% - Accent6 3 6 2" xfId="4086" xr:uid="{00000000-0005-0000-0000-00001D100000}"/>
    <cellStyle name="20% - Accent6 3 6 2 2" xfId="8308" xr:uid="{00000000-0005-0000-0000-00009B200000}"/>
    <cellStyle name="20% - Accent6 3 6 2 2 2" xfId="17899" xr:uid="{28EB38F6-4573-4AC1-92F1-BBEDB45AA2E1}"/>
    <cellStyle name="20% - Accent6 3 6 2 3" xfId="13678" xr:uid="{BA322771-21A6-43D1-A199-B6E28DD857F0}"/>
    <cellStyle name="20% - Accent6 3 6 3" xfId="6163" xr:uid="{00000000-0005-0000-0000-00003A180000}"/>
    <cellStyle name="20% - Accent6 3 6 3 2" xfId="15754" xr:uid="{3E2DBE32-A149-4203-8C14-983021CD7303}"/>
    <cellStyle name="20% - Accent6 3 6 4" xfId="11449" xr:uid="{924B4595-54D8-4C51-A3E2-7649B6A22E35}"/>
    <cellStyle name="20% - Accent6 3 7" xfId="2270" xr:uid="{00000000-0005-0000-0000-000005090000}"/>
    <cellStyle name="20% - Accent6 3 7 2" xfId="6576" xr:uid="{00000000-0005-0000-0000-0000D7190000}"/>
    <cellStyle name="20% - Accent6 3 7 2 2" xfId="16167" xr:uid="{4510F323-3FEA-4071-A66B-7F028725A20C}"/>
    <cellStyle name="20% - Accent6 3 7 3" xfId="11862" xr:uid="{138C36CA-C78E-4AB7-A739-96EFDFD81320}"/>
    <cellStyle name="20% - Accent6 3 8" xfId="4510" xr:uid="{00000000-0005-0000-0000-0000C5110000}"/>
    <cellStyle name="20% - Accent6 3 8 2" xfId="14101" xr:uid="{B1A624AB-D4E1-486B-8AF3-D830741558ED}"/>
    <cellStyle name="20% - Accent6 3 9" xfId="8832" xr:uid="{00000000-0005-0000-0000-0000A7220000}"/>
    <cellStyle name="20% - Accent6 4" xfId="42" xr:uid="{00000000-0005-0000-0000-000030000000}"/>
    <cellStyle name="20% - Accent6 4 2" xfId="578" xr:uid="{00000000-0005-0000-0000-000069020000}"/>
    <cellStyle name="20% - Accent6 4 2 2" xfId="2849" xr:uid="{00000000-0005-0000-0000-0000480B0000}"/>
    <cellStyle name="20% - Accent6 4 2 2 2" xfId="7071" xr:uid="{00000000-0005-0000-0000-0000C61B0000}"/>
    <cellStyle name="20% - Accent6 4 2 2 2 2" xfId="16662" xr:uid="{65AF256B-3773-4C64-A7BF-593026785C57}"/>
    <cellStyle name="20% - Accent6 4 2 2 3" xfId="12441" xr:uid="{BA503B93-5212-4FE0-8934-1E5CA0917B1F}"/>
    <cellStyle name="20% - Accent6 4 2 3" xfId="4926" xr:uid="{00000000-0005-0000-0000-000065130000}"/>
    <cellStyle name="20% - Accent6 4 2 3 2" xfId="14517" xr:uid="{8094F613-3F38-4B23-AA27-1EDB613D7B10}"/>
    <cellStyle name="20% - Accent6 4 2 4" xfId="9343" xr:uid="{00000000-0005-0000-0000-0000A6240000}"/>
    <cellStyle name="20% - Accent6 4 2 5" xfId="10171" xr:uid="{2DFD33B2-123D-4416-BC94-29FEA637721B}"/>
    <cellStyle name="20% - Accent6 4 3" xfId="1031" xr:uid="{00000000-0005-0000-0000-00002E040000}"/>
    <cellStyle name="20% - Accent6 4 3 2" xfId="3262" xr:uid="{00000000-0005-0000-0000-0000E50C0000}"/>
    <cellStyle name="20% - Accent6 4 3 2 2" xfId="7484" xr:uid="{00000000-0005-0000-0000-0000631D0000}"/>
    <cellStyle name="20% - Accent6 4 3 2 2 2" xfId="17075" xr:uid="{45845178-79B4-404F-822A-860AD0736338}"/>
    <cellStyle name="20% - Accent6 4 3 2 3" xfId="12854" xr:uid="{13B753ED-8DFC-4E14-84B5-B040D8BFBD52}"/>
    <cellStyle name="20% - Accent6 4 3 3" xfId="5339" xr:uid="{00000000-0005-0000-0000-000002150000}"/>
    <cellStyle name="20% - Accent6 4 3 3 2" xfId="14930" xr:uid="{45557538-9718-4246-8261-A0FA18C27B8B}"/>
    <cellStyle name="20% - Accent6 4 3 4" xfId="10624" xr:uid="{5569D301-1702-427A-8606-2CDD26E36D0B}"/>
    <cellStyle name="20% - Accent6 4 4" xfId="1445" xr:uid="{00000000-0005-0000-0000-0000CC050000}"/>
    <cellStyle name="20% - Accent6 4 4 2" xfId="3675" xr:uid="{00000000-0005-0000-0000-0000820E0000}"/>
    <cellStyle name="20% - Accent6 4 4 2 2" xfId="7897" xr:uid="{00000000-0005-0000-0000-0000001F0000}"/>
    <cellStyle name="20% - Accent6 4 4 2 2 2" xfId="17488" xr:uid="{F772157D-06F3-4811-A06A-A446819BD6E1}"/>
    <cellStyle name="20% - Accent6 4 4 2 3" xfId="13267" xr:uid="{AD73A9CA-26D8-4369-9511-A3B8057D217A}"/>
    <cellStyle name="20% - Accent6 4 4 3" xfId="5752" xr:uid="{00000000-0005-0000-0000-00009F160000}"/>
    <cellStyle name="20% - Accent6 4 4 3 2" xfId="15343" xr:uid="{9FF22960-10F0-4F47-8575-839ECFCE96D3}"/>
    <cellStyle name="20% - Accent6 4 4 4" xfId="11038" xr:uid="{E400044E-5C81-4032-8764-91064AA22B1C}"/>
    <cellStyle name="20% - Accent6 4 5" xfId="1859" xr:uid="{00000000-0005-0000-0000-00006A070000}"/>
    <cellStyle name="20% - Accent6 4 5 2" xfId="4088" xr:uid="{00000000-0005-0000-0000-00001F100000}"/>
    <cellStyle name="20% - Accent6 4 5 2 2" xfId="8310" xr:uid="{00000000-0005-0000-0000-00009D200000}"/>
    <cellStyle name="20% - Accent6 4 5 2 2 2" xfId="17901" xr:uid="{75A3A810-F6C4-4565-8EBE-1B79AA111AAB}"/>
    <cellStyle name="20% - Accent6 4 5 2 3" xfId="13680" xr:uid="{3CFD9657-4664-4ADC-8734-7A956BA3688E}"/>
    <cellStyle name="20% - Accent6 4 5 3" xfId="6165" xr:uid="{00000000-0005-0000-0000-00003C180000}"/>
    <cellStyle name="20% - Accent6 4 5 3 2" xfId="15756" xr:uid="{FD6FDE1C-CFB5-411D-92C2-A5F87ED2BBD2}"/>
    <cellStyle name="20% - Accent6 4 5 4" xfId="11451" xr:uid="{06EA0DAD-7522-481D-9165-2C772DEEA082}"/>
    <cellStyle name="20% - Accent6 4 6" xfId="2272" xr:uid="{00000000-0005-0000-0000-000007090000}"/>
    <cellStyle name="20% - Accent6 4 6 2" xfId="6578" xr:uid="{00000000-0005-0000-0000-0000D9190000}"/>
    <cellStyle name="20% - Accent6 4 6 2 2" xfId="16169" xr:uid="{66EFC89A-59A3-43FB-9034-2157CF4D5FFC}"/>
    <cellStyle name="20% - Accent6 4 6 3" xfId="11864" xr:uid="{357EF078-51E9-49AA-9AB6-55AE9F89D8DD}"/>
    <cellStyle name="20% - Accent6 4 7" xfId="4512" xr:uid="{00000000-0005-0000-0000-0000C7110000}"/>
    <cellStyle name="20% - Accent6 4 7 2" xfId="14103" xr:uid="{612E5217-756A-4836-853D-154A21F0EACA}"/>
    <cellStyle name="20% - Accent6 4 8" xfId="8918" xr:uid="{00000000-0005-0000-0000-0000FD220000}"/>
    <cellStyle name="20% - Accent6 4 9" xfId="9648" xr:uid="{7126FBAB-C8FC-433D-AB3C-7E0BDB5085A4}"/>
    <cellStyle name="20% - Accent6 5" xfId="571" xr:uid="{00000000-0005-0000-0000-000062020000}"/>
    <cellStyle name="20% - Accent6 5 2" xfId="2842" xr:uid="{00000000-0005-0000-0000-0000410B0000}"/>
    <cellStyle name="20% - Accent6 5 2 2" xfId="7064" xr:uid="{00000000-0005-0000-0000-0000BF1B0000}"/>
    <cellStyle name="20% - Accent6 5 2 2 2" xfId="16655" xr:uid="{895F3376-78BF-4841-87BF-576FCFC21D01}"/>
    <cellStyle name="20% - Accent6 5 2 3" xfId="12434" xr:uid="{6F9B1E5E-6BB5-4A63-9214-16C208749130}"/>
    <cellStyle name="20% - Accent6 5 3" xfId="4919" xr:uid="{00000000-0005-0000-0000-00005E130000}"/>
    <cellStyle name="20% - Accent6 5 3 2" xfId="14510" xr:uid="{1E796A58-906C-40B7-8295-330D2016BAAA}"/>
    <cellStyle name="20% - Accent6 5 4" xfId="9152" xr:uid="{00000000-0005-0000-0000-0000E7230000}"/>
    <cellStyle name="20% - Accent6 5 5" xfId="10164" xr:uid="{3F3D6D89-5F0B-42DF-B02E-DCC45F5783BB}"/>
    <cellStyle name="20% - Accent6 6" xfId="1024" xr:uid="{00000000-0005-0000-0000-000027040000}"/>
    <cellStyle name="20% - Accent6 6 2" xfId="3255" xr:uid="{00000000-0005-0000-0000-0000DE0C0000}"/>
    <cellStyle name="20% - Accent6 6 2 2" xfId="7477" xr:uid="{00000000-0005-0000-0000-00005C1D0000}"/>
    <cellStyle name="20% - Accent6 6 2 2 2" xfId="17068" xr:uid="{ED5B7D3C-31FC-4875-A97D-B76F7C5D4FCE}"/>
    <cellStyle name="20% - Accent6 6 2 3" xfId="12847" xr:uid="{18216150-177C-4EA6-B1B4-F621AA20DF0C}"/>
    <cellStyle name="20% - Accent6 6 3" xfId="5332" xr:uid="{00000000-0005-0000-0000-0000FB140000}"/>
    <cellStyle name="20% - Accent6 6 3 2" xfId="14923" xr:uid="{F1A9504B-C5D3-48EB-85B7-9C95961719C4}"/>
    <cellStyle name="20% - Accent6 6 4" xfId="10617" xr:uid="{0C60304F-CAB1-49D3-865C-2D62B5F89F78}"/>
    <cellStyle name="20% - Accent6 7" xfId="1438" xr:uid="{00000000-0005-0000-0000-0000C5050000}"/>
    <cellStyle name="20% - Accent6 7 2" xfId="3668" xr:uid="{00000000-0005-0000-0000-00007B0E0000}"/>
    <cellStyle name="20% - Accent6 7 2 2" xfId="7890" xr:uid="{00000000-0005-0000-0000-0000F91E0000}"/>
    <cellStyle name="20% - Accent6 7 2 2 2" xfId="17481" xr:uid="{DE530F01-4006-4BBF-B812-D2F56B3166FF}"/>
    <cellStyle name="20% - Accent6 7 2 3" xfId="13260" xr:uid="{BAB836AF-37B7-41D9-872B-B96CE3A8DC38}"/>
    <cellStyle name="20% - Accent6 7 3" xfId="5745" xr:uid="{00000000-0005-0000-0000-000098160000}"/>
    <cellStyle name="20% - Accent6 7 3 2" xfId="15336" xr:uid="{242133D0-5576-4327-A003-6552D8D60C57}"/>
    <cellStyle name="20% - Accent6 7 4" xfId="11031" xr:uid="{7EC22304-0E87-4231-9D0B-4BF813F440AF}"/>
    <cellStyle name="20% - Accent6 8" xfId="1852" xr:uid="{00000000-0005-0000-0000-000063070000}"/>
    <cellStyle name="20% - Accent6 8 2" xfId="4081" xr:uid="{00000000-0005-0000-0000-000018100000}"/>
    <cellStyle name="20% - Accent6 8 2 2" xfId="8303" xr:uid="{00000000-0005-0000-0000-000096200000}"/>
    <cellStyle name="20% - Accent6 8 2 2 2" xfId="17894" xr:uid="{A6CD350A-CAB0-4B41-9B42-403DEA9A16CC}"/>
    <cellStyle name="20% - Accent6 8 2 3" xfId="13673" xr:uid="{568004CF-353D-4850-93E8-46EFD553C560}"/>
    <cellStyle name="20% - Accent6 8 3" xfId="6158" xr:uid="{00000000-0005-0000-0000-000035180000}"/>
    <cellStyle name="20% - Accent6 8 3 2" xfId="15749" xr:uid="{7BD2133A-2BB3-4C47-843A-4CC0F3E6DF71}"/>
    <cellStyle name="20% - Accent6 8 4" xfId="11444" xr:uid="{8D61C7AE-1B4C-4FFD-83D3-2369F84D99DF}"/>
    <cellStyle name="20% - Accent6 9" xfId="2265" xr:uid="{00000000-0005-0000-0000-000000090000}"/>
    <cellStyle name="20% - Accent6 9 2" xfId="6571" xr:uid="{00000000-0005-0000-0000-0000D2190000}"/>
    <cellStyle name="20% - Accent6 9 2 2" xfId="16162" xr:uid="{81BD0EE2-69BA-4AB3-82DD-488B9181A676}"/>
    <cellStyle name="20% - Accent6 9 3" xfId="11857" xr:uid="{6B1EC036-DBA5-4BC9-BEEE-E39AB72A5365}"/>
    <cellStyle name="40% - Accent1" xfId="9590" builtinId="31" customBuiltin="1"/>
    <cellStyle name="40% - Accent1 10" xfId="4513" xr:uid="{00000000-0005-0000-0000-0000C8110000}"/>
    <cellStyle name="40% - Accent1 10 2" xfId="14104" xr:uid="{6CA0E263-EFB3-4B7F-83D4-E1EC1B081621}"/>
    <cellStyle name="40% - Accent1 11" xfId="8720" xr:uid="{00000000-0005-0000-0000-000037220000}"/>
    <cellStyle name="40% - Accent1 2" xfId="43" xr:uid="{00000000-0005-0000-0000-000032000000}"/>
    <cellStyle name="40% - Accent1 2 10" xfId="8759" xr:uid="{00000000-0005-0000-0000-00005E220000}"/>
    <cellStyle name="40% - Accent1 2 11" xfId="9649" xr:uid="{61A16300-1791-4290-8C8E-5938189724C8}"/>
    <cellStyle name="40% - Accent1 2 2" xfId="44" xr:uid="{00000000-0005-0000-0000-000033000000}"/>
    <cellStyle name="40% - Accent1 2 2 10" xfId="9650" xr:uid="{958CD18C-05A0-47D2-B53E-B03D4515B945}"/>
    <cellStyle name="40% - Accent1 2 2 2" xfId="45" xr:uid="{00000000-0005-0000-0000-000034000000}"/>
    <cellStyle name="40% - Accent1 2 2 2 2" xfId="582" xr:uid="{00000000-0005-0000-0000-00006D020000}"/>
    <cellStyle name="40% - Accent1 2 2 2 2 2" xfId="2853" xr:uid="{00000000-0005-0000-0000-00004C0B0000}"/>
    <cellStyle name="40% - Accent1 2 2 2 2 2 2" xfId="7075" xr:uid="{00000000-0005-0000-0000-0000CA1B0000}"/>
    <cellStyle name="40% - Accent1 2 2 2 2 2 2 2" xfId="16666" xr:uid="{C1C35D6B-4B0E-463E-854C-46AF959233D4}"/>
    <cellStyle name="40% - Accent1 2 2 2 2 2 3" xfId="12445" xr:uid="{BCC6985E-30CF-49DB-A595-78EABA155241}"/>
    <cellStyle name="40% - Accent1 2 2 2 2 3" xfId="4930" xr:uid="{00000000-0005-0000-0000-000069130000}"/>
    <cellStyle name="40% - Accent1 2 2 2 2 3 2" xfId="14521" xr:uid="{A4CA9FAB-C0BB-41CE-BC51-5C04E877C582}"/>
    <cellStyle name="40% - Accent1 2 2 2 2 4" xfId="9494" xr:uid="{00000000-0005-0000-0000-00003D250000}"/>
    <cellStyle name="40% - Accent1 2 2 2 2 5" xfId="10175" xr:uid="{B20F0EAF-4B96-4FAD-8F7C-1F76E38CDA0C}"/>
    <cellStyle name="40% - Accent1 2 2 2 3" xfId="1035" xr:uid="{00000000-0005-0000-0000-000032040000}"/>
    <cellStyle name="40% - Accent1 2 2 2 3 2" xfId="3266" xr:uid="{00000000-0005-0000-0000-0000E90C0000}"/>
    <cellStyle name="40% - Accent1 2 2 2 3 2 2" xfId="7488" xr:uid="{00000000-0005-0000-0000-0000671D0000}"/>
    <cellStyle name="40% - Accent1 2 2 2 3 2 2 2" xfId="17079" xr:uid="{CE04453D-F32D-47BD-8C7A-7803A949C84F}"/>
    <cellStyle name="40% - Accent1 2 2 2 3 2 3" xfId="12858" xr:uid="{1AADA7EE-3227-4DD9-A77D-7A1B28CB89AE}"/>
    <cellStyle name="40% - Accent1 2 2 2 3 3" xfId="5343" xr:uid="{00000000-0005-0000-0000-000006150000}"/>
    <cellStyle name="40% - Accent1 2 2 2 3 3 2" xfId="14934" xr:uid="{429316FF-44EE-4B99-8B24-D960220B715F}"/>
    <cellStyle name="40% - Accent1 2 2 2 3 4" xfId="10628" xr:uid="{F91C07EB-55A7-4AB1-94BE-395D15B4B44D}"/>
    <cellStyle name="40% - Accent1 2 2 2 4" xfId="1449" xr:uid="{00000000-0005-0000-0000-0000D0050000}"/>
    <cellStyle name="40% - Accent1 2 2 2 4 2" xfId="3679" xr:uid="{00000000-0005-0000-0000-0000860E0000}"/>
    <cellStyle name="40% - Accent1 2 2 2 4 2 2" xfId="7901" xr:uid="{00000000-0005-0000-0000-0000041F0000}"/>
    <cellStyle name="40% - Accent1 2 2 2 4 2 2 2" xfId="17492" xr:uid="{9AA9AD10-FFEB-4223-B6C8-B2E9E898BA48}"/>
    <cellStyle name="40% - Accent1 2 2 2 4 2 3" xfId="13271" xr:uid="{5615E63F-DF8A-43D4-8FD6-5161455B43FA}"/>
    <cellStyle name="40% - Accent1 2 2 2 4 3" xfId="5756" xr:uid="{00000000-0005-0000-0000-0000A3160000}"/>
    <cellStyle name="40% - Accent1 2 2 2 4 3 2" xfId="15347" xr:uid="{4EDD732D-A712-4076-A5BC-2902EC1583F4}"/>
    <cellStyle name="40% - Accent1 2 2 2 4 4" xfId="11042" xr:uid="{E347C5BD-0797-4923-A3A5-6D89E3C9586A}"/>
    <cellStyle name="40% - Accent1 2 2 2 5" xfId="1863" xr:uid="{00000000-0005-0000-0000-00006E070000}"/>
    <cellStyle name="40% - Accent1 2 2 2 5 2" xfId="4092" xr:uid="{00000000-0005-0000-0000-000023100000}"/>
    <cellStyle name="40% - Accent1 2 2 2 5 2 2" xfId="8314" xr:uid="{00000000-0005-0000-0000-0000A1200000}"/>
    <cellStyle name="40% - Accent1 2 2 2 5 2 2 2" xfId="17905" xr:uid="{99D6FE0D-A8BA-4373-BCEC-D1670368DF52}"/>
    <cellStyle name="40% - Accent1 2 2 2 5 2 3" xfId="13684" xr:uid="{26F32773-4F6A-4C2B-A464-E9876724108A}"/>
    <cellStyle name="40% - Accent1 2 2 2 5 3" xfId="6169" xr:uid="{00000000-0005-0000-0000-000040180000}"/>
    <cellStyle name="40% - Accent1 2 2 2 5 3 2" xfId="15760" xr:uid="{F02BF8F8-10F3-42D3-8A48-A94AD5519176}"/>
    <cellStyle name="40% - Accent1 2 2 2 5 4" xfId="11455" xr:uid="{FBC4E5BF-C5D2-4570-9E22-04990F94EFBA}"/>
    <cellStyle name="40% - Accent1 2 2 2 6" xfId="2276" xr:uid="{00000000-0005-0000-0000-00000B090000}"/>
    <cellStyle name="40% - Accent1 2 2 2 6 2" xfId="6582" xr:uid="{00000000-0005-0000-0000-0000DD190000}"/>
    <cellStyle name="40% - Accent1 2 2 2 6 2 2" xfId="16173" xr:uid="{EB0C876E-125C-4F24-93A1-887331F72A58}"/>
    <cellStyle name="40% - Accent1 2 2 2 6 3" xfId="11868" xr:uid="{6DFE1529-B039-4F9D-85B7-5C7EC76FF1B9}"/>
    <cellStyle name="40% - Accent1 2 2 2 7" xfId="4516" xr:uid="{00000000-0005-0000-0000-0000CB110000}"/>
    <cellStyle name="40% - Accent1 2 2 2 7 2" xfId="14107" xr:uid="{07B1D6AA-0C0B-4F00-9561-5E43AB38F4B1}"/>
    <cellStyle name="40% - Accent1 2 2 2 8" xfId="9069" xr:uid="{00000000-0005-0000-0000-000094230000}"/>
    <cellStyle name="40% - Accent1 2 2 2 9" xfId="9651" xr:uid="{0C9F6612-97E2-422B-9161-3CBAB7F5CBD5}"/>
    <cellStyle name="40% - Accent1 2 2 3" xfId="581" xr:uid="{00000000-0005-0000-0000-00006C020000}"/>
    <cellStyle name="40% - Accent1 2 2 3 2" xfId="2852" xr:uid="{00000000-0005-0000-0000-00004B0B0000}"/>
    <cellStyle name="40% - Accent1 2 2 3 2 2" xfId="7074" xr:uid="{00000000-0005-0000-0000-0000C91B0000}"/>
    <cellStyle name="40% - Accent1 2 2 3 2 2 2" xfId="16665" xr:uid="{3B084D70-6AD4-4C2A-8191-895DF5272EF0}"/>
    <cellStyle name="40% - Accent1 2 2 3 2 3" xfId="12444" xr:uid="{DBBA0446-465A-4759-97A0-1084D46268B6}"/>
    <cellStyle name="40% - Accent1 2 2 3 3" xfId="4929" xr:uid="{00000000-0005-0000-0000-000068130000}"/>
    <cellStyle name="40% - Accent1 2 2 3 3 2" xfId="14520" xr:uid="{48B861D5-9B74-4FB2-972A-F8157D4B7426}"/>
    <cellStyle name="40% - Accent1 2 2 3 4" xfId="9287" xr:uid="{00000000-0005-0000-0000-00006E240000}"/>
    <cellStyle name="40% - Accent1 2 2 3 5" xfId="10174" xr:uid="{8DADE0C1-AC2C-4BFA-A324-6A2E8C1EB26A}"/>
    <cellStyle name="40% - Accent1 2 2 4" xfId="1034" xr:uid="{00000000-0005-0000-0000-000031040000}"/>
    <cellStyle name="40% - Accent1 2 2 4 2" xfId="3265" xr:uid="{00000000-0005-0000-0000-0000E80C0000}"/>
    <cellStyle name="40% - Accent1 2 2 4 2 2" xfId="7487" xr:uid="{00000000-0005-0000-0000-0000661D0000}"/>
    <cellStyle name="40% - Accent1 2 2 4 2 2 2" xfId="17078" xr:uid="{BC9195C4-8C0E-45CF-8AAD-DDFDE70CF2DB}"/>
    <cellStyle name="40% - Accent1 2 2 4 2 3" xfId="12857" xr:uid="{B4835AC6-2B50-48E8-B202-ADBB82258A14}"/>
    <cellStyle name="40% - Accent1 2 2 4 3" xfId="5342" xr:uid="{00000000-0005-0000-0000-000005150000}"/>
    <cellStyle name="40% - Accent1 2 2 4 3 2" xfId="14933" xr:uid="{24EE0740-BC01-4DAB-97AB-65BFB05E12C1}"/>
    <cellStyle name="40% - Accent1 2 2 4 4" xfId="10627" xr:uid="{C5768E23-4F81-4048-95E7-33B8DD627F3C}"/>
    <cellStyle name="40% - Accent1 2 2 5" xfId="1448" xr:uid="{00000000-0005-0000-0000-0000CF050000}"/>
    <cellStyle name="40% - Accent1 2 2 5 2" xfId="3678" xr:uid="{00000000-0005-0000-0000-0000850E0000}"/>
    <cellStyle name="40% - Accent1 2 2 5 2 2" xfId="7900" xr:uid="{00000000-0005-0000-0000-0000031F0000}"/>
    <cellStyle name="40% - Accent1 2 2 5 2 2 2" xfId="17491" xr:uid="{F4A591F3-DCDB-4878-97D6-D2A414A106F3}"/>
    <cellStyle name="40% - Accent1 2 2 5 2 3" xfId="13270" xr:uid="{92033F29-60C3-4EDD-9270-9C9AAA128BF0}"/>
    <cellStyle name="40% - Accent1 2 2 5 3" xfId="5755" xr:uid="{00000000-0005-0000-0000-0000A2160000}"/>
    <cellStyle name="40% - Accent1 2 2 5 3 2" xfId="15346" xr:uid="{F39A3850-66EB-4906-AE56-42978AE818FE}"/>
    <cellStyle name="40% - Accent1 2 2 5 4" xfId="11041" xr:uid="{448501EF-A11C-46FF-B527-DCDEC4B78DB9}"/>
    <cellStyle name="40% - Accent1 2 2 6" xfId="1862" xr:uid="{00000000-0005-0000-0000-00006D070000}"/>
    <cellStyle name="40% - Accent1 2 2 6 2" xfId="4091" xr:uid="{00000000-0005-0000-0000-000022100000}"/>
    <cellStyle name="40% - Accent1 2 2 6 2 2" xfId="8313" xr:uid="{00000000-0005-0000-0000-0000A0200000}"/>
    <cellStyle name="40% - Accent1 2 2 6 2 2 2" xfId="17904" xr:uid="{2C60AAA5-5DC9-45E4-A0AA-8C48918DC80A}"/>
    <cellStyle name="40% - Accent1 2 2 6 2 3" xfId="13683" xr:uid="{DDAF993C-5719-44B7-880C-3F11B7F5AF3F}"/>
    <cellStyle name="40% - Accent1 2 2 6 3" xfId="6168" xr:uid="{00000000-0005-0000-0000-00003F180000}"/>
    <cellStyle name="40% - Accent1 2 2 6 3 2" xfId="15759" xr:uid="{6A78CA41-D568-45A3-94F0-2A98487903F4}"/>
    <cellStyle name="40% - Accent1 2 2 6 4" xfId="11454" xr:uid="{D0F88F33-5449-464C-A409-94AE1D7C87C0}"/>
    <cellStyle name="40% - Accent1 2 2 7" xfId="2275" xr:uid="{00000000-0005-0000-0000-00000A090000}"/>
    <cellStyle name="40% - Accent1 2 2 7 2" xfId="6581" xr:uid="{00000000-0005-0000-0000-0000DC190000}"/>
    <cellStyle name="40% - Accent1 2 2 7 2 2" xfId="16172" xr:uid="{D6A92216-7B92-49F2-9310-B76D2F10CEA9}"/>
    <cellStyle name="40% - Accent1 2 2 7 3" xfId="11867" xr:uid="{258ECB73-CBB2-44CC-AC49-F242C02461C6}"/>
    <cellStyle name="40% - Accent1 2 2 8" xfId="4515" xr:uid="{00000000-0005-0000-0000-0000CA110000}"/>
    <cellStyle name="40% - Accent1 2 2 8 2" xfId="14106" xr:uid="{FB896703-6F6F-40C9-AB24-55C7752C4E14}"/>
    <cellStyle name="40% - Accent1 2 2 9" xfId="8862" xr:uid="{00000000-0005-0000-0000-0000C5220000}"/>
    <cellStyle name="40% - Accent1 2 3" xfId="46" xr:uid="{00000000-0005-0000-0000-000035000000}"/>
    <cellStyle name="40% - Accent1 2 3 2" xfId="583" xr:uid="{00000000-0005-0000-0000-00006E020000}"/>
    <cellStyle name="40% - Accent1 2 3 2 2" xfId="2854" xr:uid="{00000000-0005-0000-0000-00004D0B0000}"/>
    <cellStyle name="40% - Accent1 2 3 2 2 2" xfId="7076" xr:uid="{00000000-0005-0000-0000-0000CB1B0000}"/>
    <cellStyle name="40% - Accent1 2 3 2 2 2 2" xfId="16667" xr:uid="{785F4771-C907-453B-A415-EC8137E0CBD0}"/>
    <cellStyle name="40% - Accent1 2 3 2 2 3" xfId="12446" xr:uid="{18D92148-0650-4784-AB1C-C4D904EDB8BF}"/>
    <cellStyle name="40% - Accent1 2 3 2 3" xfId="4931" xr:uid="{00000000-0005-0000-0000-00006A130000}"/>
    <cellStyle name="40% - Accent1 2 3 2 3 2" xfId="14522" xr:uid="{0ACC8A22-582C-429E-91C6-B8B07A77FA2B}"/>
    <cellStyle name="40% - Accent1 2 3 2 4" xfId="9391" xr:uid="{00000000-0005-0000-0000-0000D6240000}"/>
    <cellStyle name="40% - Accent1 2 3 2 5" xfId="10176" xr:uid="{C90FDCC7-6840-499C-836C-A522336CFBE5}"/>
    <cellStyle name="40% - Accent1 2 3 3" xfId="1036" xr:uid="{00000000-0005-0000-0000-000033040000}"/>
    <cellStyle name="40% - Accent1 2 3 3 2" xfId="3267" xr:uid="{00000000-0005-0000-0000-0000EA0C0000}"/>
    <cellStyle name="40% - Accent1 2 3 3 2 2" xfId="7489" xr:uid="{00000000-0005-0000-0000-0000681D0000}"/>
    <cellStyle name="40% - Accent1 2 3 3 2 2 2" xfId="17080" xr:uid="{DCB9F491-C753-46D1-AE2E-0731CDA100B9}"/>
    <cellStyle name="40% - Accent1 2 3 3 2 3" xfId="12859" xr:uid="{44BE0825-F5E2-4D52-8446-B3C48FC01037}"/>
    <cellStyle name="40% - Accent1 2 3 3 3" xfId="5344" xr:uid="{00000000-0005-0000-0000-000007150000}"/>
    <cellStyle name="40% - Accent1 2 3 3 3 2" xfId="14935" xr:uid="{E5AE3301-71C6-4ACF-86E1-A044C6D1A1AA}"/>
    <cellStyle name="40% - Accent1 2 3 3 4" xfId="10629" xr:uid="{3BA413C5-2E57-4E72-9159-8F2E7123BF86}"/>
    <cellStyle name="40% - Accent1 2 3 4" xfId="1450" xr:uid="{00000000-0005-0000-0000-0000D1050000}"/>
    <cellStyle name="40% - Accent1 2 3 4 2" xfId="3680" xr:uid="{00000000-0005-0000-0000-0000870E0000}"/>
    <cellStyle name="40% - Accent1 2 3 4 2 2" xfId="7902" xr:uid="{00000000-0005-0000-0000-0000051F0000}"/>
    <cellStyle name="40% - Accent1 2 3 4 2 2 2" xfId="17493" xr:uid="{59B7ADB7-9A67-4B4C-ACCA-68F1738B9766}"/>
    <cellStyle name="40% - Accent1 2 3 4 2 3" xfId="13272" xr:uid="{968AB322-1E60-4D0D-83F4-DDB1EA7662F2}"/>
    <cellStyle name="40% - Accent1 2 3 4 3" xfId="5757" xr:uid="{00000000-0005-0000-0000-0000A4160000}"/>
    <cellStyle name="40% - Accent1 2 3 4 3 2" xfId="15348" xr:uid="{9A17BC14-4A31-428E-AFA2-6612FB873927}"/>
    <cellStyle name="40% - Accent1 2 3 4 4" xfId="11043" xr:uid="{3F7BD329-2C48-4E1E-855E-7271C47DA188}"/>
    <cellStyle name="40% - Accent1 2 3 5" xfId="1864" xr:uid="{00000000-0005-0000-0000-00006F070000}"/>
    <cellStyle name="40% - Accent1 2 3 5 2" xfId="4093" xr:uid="{00000000-0005-0000-0000-000024100000}"/>
    <cellStyle name="40% - Accent1 2 3 5 2 2" xfId="8315" xr:uid="{00000000-0005-0000-0000-0000A2200000}"/>
    <cellStyle name="40% - Accent1 2 3 5 2 2 2" xfId="17906" xr:uid="{0EA276FE-737C-462C-A17B-A4FBC3E81A74}"/>
    <cellStyle name="40% - Accent1 2 3 5 2 3" xfId="13685" xr:uid="{EC7878A6-88F1-4B58-B3E6-C5FFF07B7272}"/>
    <cellStyle name="40% - Accent1 2 3 5 3" xfId="6170" xr:uid="{00000000-0005-0000-0000-000041180000}"/>
    <cellStyle name="40% - Accent1 2 3 5 3 2" xfId="15761" xr:uid="{6C95CC2E-B62E-4422-930D-E909D7E66DD7}"/>
    <cellStyle name="40% - Accent1 2 3 5 4" xfId="11456" xr:uid="{D3DBD31F-66C4-4519-AD2D-375EF12716C1}"/>
    <cellStyle name="40% - Accent1 2 3 6" xfId="2277" xr:uid="{00000000-0005-0000-0000-00000C090000}"/>
    <cellStyle name="40% - Accent1 2 3 6 2" xfId="6583" xr:uid="{00000000-0005-0000-0000-0000DE190000}"/>
    <cellStyle name="40% - Accent1 2 3 6 2 2" xfId="16174" xr:uid="{E8D572ED-E4C2-476A-A4B7-34B299D78642}"/>
    <cellStyle name="40% - Accent1 2 3 6 3" xfId="11869" xr:uid="{9C704994-FF03-4341-A85B-32F1461EA245}"/>
    <cellStyle name="40% - Accent1 2 3 7" xfId="4517" xr:uid="{00000000-0005-0000-0000-0000CC110000}"/>
    <cellStyle name="40% - Accent1 2 3 7 2" xfId="14108" xr:uid="{8E06981A-5D5D-4DF2-88A2-B78847FEE4F6}"/>
    <cellStyle name="40% - Accent1 2 3 8" xfId="8966" xr:uid="{00000000-0005-0000-0000-00002D230000}"/>
    <cellStyle name="40% - Accent1 2 3 9" xfId="9652" xr:uid="{877AD4B4-B2CE-45E6-94C0-6847B4197A67}"/>
    <cellStyle name="40% - Accent1 2 4" xfId="580" xr:uid="{00000000-0005-0000-0000-00006B020000}"/>
    <cellStyle name="40% - Accent1 2 4 2" xfId="2851" xr:uid="{00000000-0005-0000-0000-00004A0B0000}"/>
    <cellStyle name="40% - Accent1 2 4 2 2" xfId="7073" xr:uid="{00000000-0005-0000-0000-0000C81B0000}"/>
    <cellStyle name="40% - Accent1 2 4 2 2 2" xfId="16664" xr:uid="{1CAB3381-8DD2-4322-9FDF-42F8B63B1FBF}"/>
    <cellStyle name="40% - Accent1 2 4 2 3" xfId="12443" xr:uid="{0E9514A2-531D-4F87-9997-72682CAB161A}"/>
    <cellStyle name="40% - Accent1 2 4 3" xfId="4928" xr:uid="{00000000-0005-0000-0000-000067130000}"/>
    <cellStyle name="40% - Accent1 2 4 3 2" xfId="14519" xr:uid="{E9EDA0D8-4CC4-462C-B6CA-159D2E72B39A}"/>
    <cellStyle name="40% - Accent1 2 4 4" xfId="9183" xr:uid="{00000000-0005-0000-0000-000006240000}"/>
    <cellStyle name="40% - Accent1 2 4 5" xfId="10173" xr:uid="{ABDF9B6A-49FE-4C82-8743-34C45245FBE7}"/>
    <cellStyle name="40% - Accent1 2 5" xfId="1033" xr:uid="{00000000-0005-0000-0000-000030040000}"/>
    <cellStyle name="40% - Accent1 2 5 2" xfId="3264" xr:uid="{00000000-0005-0000-0000-0000E70C0000}"/>
    <cellStyle name="40% - Accent1 2 5 2 2" xfId="7486" xr:uid="{00000000-0005-0000-0000-0000651D0000}"/>
    <cellStyle name="40% - Accent1 2 5 2 2 2" xfId="17077" xr:uid="{7ED416F6-10DB-43C7-880F-0330C9831E62}"/>
    <cellStyle name="40% - Accent1 2 5 2 3" xfId="12856" xr:uid="{E10572D4-7B29-42C0-9D9F-19BEC8399FE1}"/>
    <cellStyle name="40% - Accent1 2 5 3" xfId="5341" xr:uid="{00000000-0005-0000-0000-000004150000}"/>
    <cellStyle name="40% - Accent1 2 5 3 2" xfId="14932" xr:uid="{0306B8FD-6F6C-4E23-A1FC-5107513ADB3D}"/>
    <cellStyle name="40% - Accent1 2 5 4" xfId="10626" xr:uid="{B605798D-E9F1-4287-89AE-ABBB1D33DF9F}"/>
    <cellStyle name="40% - Accent1 2 6" xfId="1447" xr:uid="{00000000-0005-0000-0000-0000CE050000}"/>
    <cellStyle name="40% - Accent1 2 6 2" xfId="3677" xr:uid="{00000000-0005-0000-0000-0000840E0000}"/>
    <cellStyle name="40% - Accent1 2 6 2 2" xfId="7899" xr:uid="{00000000-0005-0000-0000-0000021F0000}"/>
    <cellStyle name="40% - Accent1 2 6 2 2 2" xfId="17490" xr:uid="{B6902A7F-2854-40FA-BD1F-8C05BD09D005}"/>
    <cellStyle name="40% - Accent1 2 6 2 3" xfId="13269" xr:uid="{90F33F48-E865-49F1-9FDF-D89A4E1DED8F}"/>
    <cellStyle name="40% - Accent1 2 6 3" xfId="5754" xr:uid="{00000000-0005-0000-0000-0000A1160000}"/>
    <cellStyle name="40% - Accent1 2 6 3 2" xfId="15345" xr:uid="{34CD2007-807C-41C3-8680-45F76E2C1949}"/>
    <cellStyle name="40% - Accent1 2 6 4" xfId="11040" xr:uid="{7EFDD341-038D-4252-9DEA-1A09089030CB}"/>
    <cellStyle name="40% - Accent1 2 7" xfId="1861" xr:uid="{00000000-0005-0000-0000-00006C070000}"/>
    <cellStyle name="40% - Accent1 2 7 2" xfId="4090" xr:uid="{00000000-0005-0000-0000-000021100000}"/>
    <cellStyle name="40% - Accent1 2 7 2 2" xfId="8312" xr:uid="{00000000-0005-0000-0000-00009F200000}"/>
    <cellStyle name="40% - Accent1 2 7 2 2 2" xfId="17903" xr:uid="{46D9AF56-3553-4955-AB45-E4D691B965FA}"/>
    <cellStyle name="40% - Accent1 2 7 2 3" xfId="13682" xr:uid="{92479049-4923-450D-AA9B-EC685BB18313}"/>
    <cellStyle name="40% - Accent1 2 7 3" xfId="6167" xr:uid="{00000000-0005-0000-0000-00003E180000}"/>
    <cellStyle name="40% - Accent1 2 7 3 2" xfId="15758" xr:uid="{3F51E1E1-EB07-4213-84C4-A7C72B13DBCC}"/>
    <cellStyle name="40% - Accent1 2 7 4" xfId="11453" xr:uid="{693DE621-0632-488D-8EE4-F8C1E3B75342}"/>
    <cellStyle name="40% - Accent1 2 8" xfId="2274" xr:uid="{00000000-0005-0000-0000-000009090000}"/>
    <cellStyle name="40% - Accent1 2 8 2" xfId="6580" xr:uid="{00000000-0005-0000-0000-0000DB190000}"/>
    <cellStyle name="40% - Accent1 2 8 2 2" xfId="16171" xr:uid="{2F0170A2-3853-4F69-96B4-8B98126CECB8}"/>
    <cellStyle name="40% - Accent1 2 8 3" xfId="11866" xr:uid="{6B7D7833-B707-41BA-92B3-B8168B9DB9D0}"/>
    <cellStyle name="40% - Accent1 2 9" xfId="4514" xr:uid="{00000000-0005-0000-0000-0000C9110000}"/>
    <cellStyle name="40% - Accent1 2 9 2" xfId="14105" xr:uid="{189CEE9F-0BC1-4B03-BEAD-F7578AFFD58B}"/>
    <cellStyle name="40% - Accent1 3" xfId="47" xr:uid="{00000000-0005-0000-0000-000036000000}"/>
    <cellStyle name="40% - Accent1 3 10" xfId="9653" xr:uid="{002AF1C6-1F1A-432A-B38F-56FA6C879D9D}"/>
    <cellStyle name="40% - Accent1 3 2" xfId="48" xr:uid="{00000000-0005-0000-0000-000037000000}"/>
    <cellStyle name="40% - Accent1 3 2 2" xfId="585" xr:uid="{00000000-0005-0000-0000-000070020000}"/>
    <cellStyle name="40% - Accent1 3 2 2 2" xfId="2856" xr:uid="{00000000-0005-0000-0000-00004F0B0000}"/>
    <cellStyle name="40% - Accent1 3 2 2 2 2" xfId="7078" xr:uid="{00000000-0005-0000-0000-0000CD1B0000}"/>
    <cellStyle name="40% - Accent1 3 2 2 2 2 2" xfId="16669" xr:uid="{0C922A01-3F57-42CC-A22B-72248E8C53DD}"/>
    <cellStyle name="40% - Accent1 3 2 2 2 3" xfId="12448" xr:uid="{9F7B3BB6-6F49-419F-958D-8DAA8617471E}"/>
    <cellStyle name="40% - Accent1 3 2 2 3" xfId="4933" xr:uid="{00000000-0005-0000-0000-00006C130000}"/>
    <cellStyle name="40% - Accent1 3 2 2 3 2" xfId="14524" xr:uid="{9E734539-B253-46F4-8132-752EE66EBF54}"/>
    <cellStyle name="40% - Accent1 3 2 2 4" xfId="9455" xr:uid="{00000000-0005-0000-0000-000016250000}"/>
    <cellStyle name="40% - Accent1 3 2 2 5" xfId="10178" xr:uid="{A02A6F18-2B60-4D8C-A602-52E10852BB2C}"/>
    <cellStyle name="40% - Accent1 3 2 3" xfId="1038" xr:uid="{00000000-0005-0000-0000-000035040000}"/>
    <cellStyle name="40% - Accent1 3 2 3 2" xfId="3269" xr:uid="{00000000-0005-0000-0000-0000EC0C0000}"/>
    <cellStyle name="40% - Accent1 3 2 3 2 2" xfId="7491" xr:uid="{00000000-0005-0000-0000-00006A1D0000}"/>
    <cellStyle name="40% - Accent1 3 2 3 2 2 2" xfId="17082" xr:uid="{95E56D8D-7E3E-49A0-A83E-E793FB668711}"/>
    <cellStyle name="40% - Accent1 3 2 3 2 3" xfId="12861" xr:uid="{C1CE923B-6F7C-4468-B206-84DA8FF4554B}"/>
    <cellStyle name="40% - Accent1 3 2 3 3" xfId="5346" xr:uid="{00000000-0005-0000-0000-000009150000}"/>
    <cellStyle name="40% - Accent1 3 2 3 3 2" xfId="14937" xr:uid="{A5005250-3A65-4EFA-8313-F7DCD12E0037}"/>
    <cellStyle name="40% - Accent1 3 2 3 4" xfId="10631" xr:uid="{DBE855B0-1127-4D76-AC4F-27D5BD4127E5}"/>
    <cellStyle name="40% - Accent1 3 2 4" xfId="1452" xr:uid="{00000000-0005-0000-0000-0000D3050000}"/>
    <cellStyle name="40% - Accent1 3 2 4 2" xfId="3682" xr:uid="{00000000-0005-0000-0000-0000890E0000}"/>
    <cellStyle name="40% - Accent1 3 2 4 2 2" xfId="7904" xr:uid="{00000000-0005-0000-0000-0000071F0000}"/>
    <cellStyle name="40% - Accent1 3 2 4 2 2 2" xfId="17495" xr:uid="{9927533F-4F77-428E-A28B-8D1D5A21A899}"/>
    <cellStyle name="40% - Accent1 3 2 4 2 3" xfId="13274" xr:uid="{4BCA8438-02FD-4D1A-A868-E219B8E2A84F}"/>
    <cellStyle name="40% - Accent1 3 2 4 3" xfId="5759" xr:uid="{00000000-0005-0000-0000-0000A6160000}"/>
    <cellStyle name="40% - Accent1 3 2 4 3 2" xfId="15350" xr:uid="{EDE22FE3-8F75-4F68-82BE-5233A47FFB93}"/>
    <cellStyle name="40% - Accent1 3 2 4 4" xfId="11045" xr:uid="{D1808B24-974A-4565-8AB2-5FE7C83D4D0B}"/>
    <cellStyle name="40% - Accent1 3 2 5" xfId="1866" xr:uid="{00000000-0005-0000-0000-000071070000}"/>
    <cellStyle name="40% - Accent1 3 2 5 2" xfId="4095" xr:uid="{00000000-0005-0000-0000-000026100000}"/>
    <cellStyle name="40% - Accent1 3 2 5 2 2" xfId="8317" xr:uid="{00000000-0005-0000-0000-0000A4200000}"/>
    <cellStyle name="40% - Accent1 3 2 5 2 2 2" xfId="17908" xr:uid="{22BB0310-D0CA-400B-8053-357949AEEE22}"/>
    <cellStyle name="40% - Accent1 3 2 5 2 3" xfId="13687" xr:uid="{F7E25652-DCDE-4981-BA05-CC6E6AF79A21}"/>
    <cellStyle name="40% - Accent1 3 2 5 3" xfId="6172" xr:uid="{00000000-0005-0000-0000-000043180000}"/>
    <cellStyle name="40% - Accent1 3 2 5 3 2" xfId="15763" xr:uid="{BDF3EBCC-5150-4D90-BDAA-F066A286537A}"/>
    <cellStyle name="40% - Accent1 3 2 5 4" xfId="11458" xr:uid="{F16F3CC0-CBCD-4037-8F50-BDB0F561BAE3}"/>
    <cellStyle name="40% - Accent1 3 2 6" xfId="2279" xr:uid="{00000000-0005-0000-0000-00000E090000}"/>
    <cellStyle name="40% - Accent1 3 2 6 2" xfId="6585" xr:uid="{00000000-0005-0000-0000-0000E0190000}"/>
    <cellStyle name="40% - Accent1 3 2 6 2 2" xfId="16176" xr:uid="{E44BDEBE-B88B-4F42-A0A2-063BEF15398B}"/>
    <cellStyle name="40% - Accent1 3 2 6 3" xfId="11871" xr:uid="{66A36D95-05CC-4892-AE2E-46C35214532A}"/>
    <cellStyle name="40% - Accent1 3 2 7" xfId="4519" xr:uid="{00000000-0005-0000-0000-0000CE110000}"/>
    <cellStyle name="40% - Accent1 3 2 7 2" xfId="14110" xr:uid="{0A77A38E-252D-4997-B0E2-E39799F6017A}"/>
    <cellStyle name="40% - Accent1 3 2 8" xfId="9030" xr:uid="{00000000-0005-0000-0000-00006D230000}"/>
    <cellStyle name="40% - Accent1 3 2 9" xfId="9654" xr:uid="{773E1BD3-C8C2-420A-B336-BFD9FEFC194D}"/>
    <cellStyle name="40% - Accent1 3 3" xfId="584" xr:uid="{00000000-0005-0000-0000-00006F020000}"/>
    <cellStyle name="40% - Accent1 3 3 2" xfId="2855" xr:uid="{00000000-0005-0000-0000-00004E0B0000}"/>
    <cellStyle name="40% - Accent1 3 3 2 2" xfId="7077" xr:uid="{00000000-0005-0000-0000-0000CC1B0000}"/>
    <cellStyle name="40% - Accent1 3 3 2 2 2" xfId="16668" xr:uid="{8CE06E45-A976-4EDC-91F4-91886BD2A3FA}"/>
    <cellStyle name="40% - Accent1 3 3 2 3" xfId="12447" xr:uid="{486C6ED6-151E-402D-BC67-D409C74B2E9D}"/>
    <cellStyle name="40% - Accent1 3 3 3" xfId="4932" xr:uid="{00000000-0005-0000-0000-00006B130000}"/>
    <cellStyle name="40% - Accent1 3 3 3 2" xfId="14523" xr:uid="{34A08529-6194-4362-925C-7CF5AA374D9C}"/>
    <cellStyle name="40% - Accent1 3 3 4" xfId="9248" xr:uid="{00000000-0005-0000-0000-000047240000}"/>
    <cellStyle name="40% - Accent1 3 3 5" xfId="10177" xr:uid="{E6A03443-116C-4960-912E-244ADFE38339}"/>
    <cellStyle name="40% - Accent1 3 4" xfId="1037" xr:uid="{00000000-0005-0000-0000-000034040000}"/>
    <cellStyle name="40% - Accent1 3 4 2" xfId="3268" xr:uid="{00000000-0005-0000-0000-0000EB0C0000}"/>
    <cellStyle name="40% - Accent1 3 4 2 2" xfId="7490" xr:uid="{00000000-0005-0000-0000-0000691D0000}"/>
    <cellStyle name="40% - Accent1 3 4 2 2 2" xfId="17081" xr:uid="{B1CE625B-29C9-4A94-B65B-08366C563F24}"/>
    <cellStyle name="40% - Accent1 3 4 2 3" xfId="12860" xr:uid="{775EE95F-246D-4B14-B28D-9D1DB7BFBDA2}"/>
    <cellStyle name="40% - Accent1 3 4 3" xfId="5345" xr:uid="{00000000-0005-0000-0000-000008150000}"/>
    <cellStyle name="40% - Accent1 3 4 3 2" xfId="14936" xr:uid="{6CFAC98C-7A0E-40C0-9848-6B38CC818C9C}"/>
    <cellStyle name="40% - Accent1 3 4 4" xfId="10630" xr:uid="{9372EA28-15A4-4F0A-8B12-B7A1A830075D}"/>
    <cellStyle name="40% - Accent1 3 5" xfId="1451" xr:uid="{00000000-0005-0000-0000-0000D2050000}"/>
    <cellStyle name="40% - Accent1 3 5 2" xfId="3681" xr:uid="{00000000-0005-0000-0000-0000880E0000}"/>
    <cellStyle name="40% - Accent1 3 5 2 2" xfId="7903" xr:uid="{00000000-0005-0000-0000-0000061F0000}"/>
    <cellStyle name="40% - Accent1 3 5 2 2 2" xfId="17494" xr:uid="{E1FFD255-789B-48F8-90A4-570BEFBB07F6}"/>
    <cellStyle name="40% - Accent1 3 5 2 3" xfId="13273" xr:uid="{689EAC9A-81E3-4B47-96F3-7946105738A1}"/>
    <cellStyle name="40% - Accent1 3 5 3" xfId="5758" xr:uid="{00000000-0005-0000-0000-0000A5160000}"/>
    <cellStyle name="40% - Accent1 3 5 3 2" xfId="15349" xr:uid="{3BAF82F8-9E7A-4217-A1A0-E0D87031CC32}"/>
    <cellStyle name="40% - Accent1 3 5 4" xfId="11044" xr:uid="{231AF8DA-975D-4FE9-9544-41E36B5E34B3}"/>
    <cellStyle name="40% - Accent1 3 6" xfId="1865" xr:uid="{00000000-0005-0000-0000-000070070000}"/>
    <cellStyle name="40% - Accent1 3 6 2" xfId="4094" xr:uid="{00000000-0005-0000-0000-000025100000}"/>
    <cellStyle name="40% - Accent1 3 6 2 2" xfId="8316" xr:uid="{00000000-0005-0000-0000-0000A3200000}"/>
    <cellStyle name="40% - Accent1 3 6 2 2 2" xfId="17907" xr:uid="{9686AA60-8780-4CA9-A9C1-2BF1D8EE6A09}"/>
    <cellStyle name="40% - Accent1 3 6 2 3" xfId="13686" xr:uid="{171197A8-1F8B-4CF8-A58C-C09EA1A1A9AC}"/>
    <cellStyle name="40% - Accent1 3 6 3" xfId="6171" xr:uid="{00000000-0005-0000-0000-000042180000}"/>
    <cellStyle name="40% - Accent1 3 6 3 2" xfId="15762" xr:uid="{2A853D59-2ED2-4D3D-A0D5-92299FDF8F20}"/>
    <cellStyle name="40% - Accent1 3 6 4" xfId="11457" xr:uid="{ACB8E868-51CF-44DA-A1E2-0D17C7973C8D}"/>
    <cellStyle name="40% - Accent1 3 7" xfId="2278" xr:uid="{00000000-0005-0000-0000-00000D090000}"/>
    <cellStyle name="40% - Accent1 3 7 2" xfId="6584" xr:uid="{00000000-0005-0000-0000-0000DF190000}"/>
    <cellStyle name="40% - Accent1 3 7 2 2" xfId="16175" xr:uid="{FB3D4854-A64E-4D37-A804-61FA5CE0E2CB}"/>
    <cellStyle name="40% - Accent1 3 7 3" xfId="11870" xr:uid="{AFE18F0E-6FB1-4680-AFE3-FBDBA8FB941A}"/>
    <cellStyle name="40% - Accent1 3 8" xfId="4518" xr:uid="{00000000-0005-0000-0000-0000CD110000}"/>
    <cellStyle name="40% - Accent1 3 8 2" xfId="14109" xr:uid="{9516B84F-584B-4302-8E16-12B5D4504228}"/>
    <cellStyle name="40% - Accent1 3 9" xfId="8823" xr:uid="{00000000-0005-0000-0000-00009E220000}"/>
    <cellStyle name="40% - Accent1 4" xfId="49" xr:uid="{00000000-0005-0000-0000-000038000000}"/>
    <cellStyle name="40% - Accent1 4 2" xfId="586" xr:uid="{00000000-0005-0000-0000-000071020000}"/>
    <cellStyle name="40% - Accent1 4 2 2" xfId="2857" xr:uid="{00000000-0005-0000-0000-0000500B0000}"/>
    <cellStyle name="40% - Accent1 4 2 2 2" xfId="7079" xr:uid="{00000000-0005-0000-0000-0000CE1B0000}"/>
    <cellStyle name="40% - Accent1 4 2 2 2 2" xfId="16670" xr:uid="{16317449-4390-4500-9AE5-0CE1BA2C92BD}"/>
    <cellStyle name="40% - Accent1 4 2 2 3" xfId="12449" xr:uid="{E72788DD-01A1-45AB-8C8B-37F6080983E1}"/>
    <cellStyle name="40% - Accent1 4 2 3" xfId="4934" xr:uid="{00000000-0005-0000-0000-00006D130000}"/>
    <cellStyle name="40% - Accent1 4 2 3 2" xfId="14525" xr:uid="{3345BEFA-4F91-4EF7-9E03-FE12C46A075A}"/>
    <cellStyle name="40% - Accent1 4 2 4" xfId="9334" xr:uid="{00000000-0005-0000-0000-00009D240000}"/>
    <cellStyle name="40% - Accent1 4 2 5" xfId="10179" xr:uid="{157EC6CE-9460-43FA-B5BC-A7D217CD9AA2}"/>
    <cellStyle name="40% - Accent1 4 3" xfId="1039" xr:uid="{00000000-0005-0000-0000-000036040000}"/>
    <cellStyle name="40% - Accent1 4 3 2" xfId="3270" xr:uid="{00000000-0005-0000-0000-0000ED0C0000}"/>
    <cellStyle name="40% - Accent1 4 3 2 2" xfId="7492" xr:uid="{00000000-0005-0000-0000-00006B1D0000}"/>
    <cellStyle name="40% - Accent1 4 3 2 2 2" xfId="17083" xr:uid="{C30EBCA9-DE9E-4BFF-9808-30240689A715}"/>
    <cellStyle name="40% - Accent1 4 3 2 3" xfId="12862" xr:uid="{DE88AFB2-A99F-4C67-8759-530D211DBEA5}"/>
    <cellStyle name="40% - Accent1 4 3 3" xfId="5347" xr:uid="{00000000-0005-0000-0000-00000A150000}"/>
    <cellStyle name="40% - Accent1 4 3 3 2" xfId="14938" xr:uid="{09E58DFE-C160-485F-A4B7-661C99A94987}"/>
    <cellStyle name="40% - Accent1 4 3 4" xfId="10632" xr:uid="{4321E39B-7474-4F78-AFC5-5BA02C6A05AA}"/>
    <cellStyle name="40% - Accent1 4 4" xfId="1453" xr:uid="{00000000-0005-0000-0000-0000D4050000}"/>
    <cellStyle name="40% - Accent1 4 4 2" xfId="3683" xr:uid="{00000000-0005-0000-0000-00008A0E0000}"/>
    <cellStyle name="40% - Accent1 4 4 2 2" xfId="7905" xr:uid="{00000000-0005-0000-0000-0000081F0000}"/>
    <cellStyle name="40% - Accent1 4 4 2 2 2" xfId="17496" xr:uid="{5C8E2E65-E879-474E-8E0A-78DBE445EF7C}"/>
    <cellStyle name="40% - Accent1 4 4 2 3" xfId="13275" xr:uid="{12D9E194-C824-4406-8536-D053FDC42DB1}"/>
    <cellStyle name="40% - Accent1 4 4 3" xfId="5760" xr:uid="{00000000-0005-0000-0000-0000A7160000}"/>
    <cellStyle name="40% - Accent1 4 4 3 2" xfId="15351" xr:uid="{906314D4-C260-46F2-BAAF-F250FD0DA5DA}"/>
    <cellStyle name="40% - Accent1 4 4 4" xfId="11046" xr:uid="{E881DDE2-95ED-48F0-9923-D197F07482F3}"/>
    <cellStyle name="40% - Accent1 4 5" xfId="1867" xr:uid="{00000000-0005-0000-0000-000072070000}"/>
    <cellStyle name="40% - Accent1 4 5 2" xfId="4096" xr:uid="{00000000-0005-0000-0000-000027100000}"/>
    <cellStyle name="40% - Accent1 4 5 2 2" xfId="8318" xr:uid="{00000000-0005-0000-0000-0000A5200000}"/>
    <cellStyle name="40% - Accent1 4 5 2 2 2" xfId="17909" xr:uid="{BC52A1CD-7092-4BEC-A14D-C1D6AA1AA6B8}"/>
    <cellStyle name="40% - Accent1 4 5 2 3" xfId="13688" xr:uid="{075EF647-93AE-4E63-8481-5F2A692030B6}"/>
    <cellStyle name="40% - Accent1 4 5 3" xfId="6173" xr:uid="{00000000-0005-0000-0000-000044180000}"/>
    <cellStyle name="40% - Accent1 4 5 3 2" xfId="15764" xr:uid="{1E119700-142E-4EEF-A746-0A96ADCE8788}"/>
    <cellStyle name="40% - Accent1 4 5 4" xfId="11459" xr:uid="{313262DF-E769-4803-8381-8F8A872601E7}"/>
    <cellStyle name="40% - Accent1 4 6" xfId="2280" xr:uid="{00000000-0005-0000-0000-00000F090000}"/>
    <cellStyle name="40% - Accent1 4 6 2" xfId="6586" xr:uid="{00000000-0005-0000-0000-0000E1190000}"/>
    <cellStyle name="40% - Accent1 4 6 2 2" xfId="16177" xr:uid="{3A5EF21B-3735-4665-8DC4-6F314929EFCC}"/>
    <cellStyle name="40% - Accent1 4 6 3" xfId="11872" xr:uid="{927A3F0F-A6E7-4B80-AF88-A3AA0DD16431}"/>
    <cellStyle name="40% - Accent1 4 7" xfId="4520" xr:uid="{00000000-0005-0000-0000-0000CF110000}"/>
    <cellStyle name="40% - Accent1 4 7 2" xfId="14111" xr:uid="{E8C7121F-B91F-47D0-9665-E78CD09BEC73}"/>
    <cellStyle name="40% - Accent1 4 8" xfId="8909" xr:uid="{00000000-0005-0000-0000-0000F4220000}"/>
    <cellStyle name="40% - Accent1 4 9" xfId="9655" xr:uid="{83E9037F-993A-49ED-BC3D-EC9B1E9810B4}"/>
    <cellStyle name="40% - Accent1 5" xfId="579" xr:uid="{00000000-0005-0000-0000-00006A020000}"/>
    <cellStyle name="40% - Accent1 5 2" xfId="2850" xr:uid="{00000000-0005-0000-0000-0000490B0000}"/>
    <cellStyle name="40% - Accent1 5 2 2" xfId="7072" xr:uid="{00000000-0005-0000-0000-0000C71B0000}"/>
    <cellStyle name="40% - Accent1 5 2 2 2" xfId="16663" xr:uid="{930B5993-3CE4-4343-B78F-0F42FA215D2C}"/>
    <cellStyle name="40% - Accent1 5 2 3" xfId="12442" xr:uid="{147F54BB-026A-4EFF-B8AA-0D29AF5F0874}"/>
    <cellStyle name="40% - Accent1 5 3" xfId="4927" xr:uid="{00000000-0005-0000-0000-000066130000}"/>
    <cellStyle name="40% - Accent1 5 3 2" xfId="14518" xr:uid="{B91AD75B-1DD5-4D2B-819A-54F362EE5D99}"/>
    <cellStyle name="40% - Accent1 5 4" xfId="9142" xr:uid="{00000000-0005-0000-0000-0000DD230000}"/>
    <cellStyle name="40% - Accent1 5 5" xfId="10172" xr:uid="{05295AE8-E5D7-4905-BD21-A43543F46AAD}"/>
    <cellStyle name="40% - Accent1 6" xfId="1032" xr:uid="{00000000-0005-0000-0000-00002F040000}"/>
    <cellStyle name="40% - Accent1 6 2" xfId="3263" xr:uid="{00000000-0005-0000-0000-0000E60C0000}"/>
    <cellStyle name="40% - Accent1 6 2 2" xfId="7485" xr:uid="{00000000-0005-0000-0000-0000641D0000}"/>
    <cellStyle name="40% - Accent1 6 2 2 2" xfId="17076" xr:uid="{CF955DA9-0162-4721-A43E-90629F0BD644}"/>
    <cellStyle name="40% - Accent1 6 2 3" xfId="12855" xr:uid="{42EAF126-9402-498B-9566-9FDC50D295CF}"/>
    <cellStyle name="40% - Accent1 6 3" xfId="5340" xr:uid="{00000000-0005-0000-0000-000003150000}"/>
    <cellStyle name="40% - Accent1 6 3 2" xfId="14931" xr:uid="{DE7CE311-4718-4E8C-B66B-BB873F81FFC5}"/>
    <cellStyle name="40% - Accent1 6 4" xfId="10625" xr:uid="{E0436C24-383C-4E92-BD78-E497DA65D30F}"/>
    <cellStyle name="40% - Accent1 7" xfId="1446" xr:uid="{00000000-0005-0000-0000-0000CD050000}"/>
    <cellStyle name="40% - Accent1 7 2" xfId="3676" xr:uid="{00000000-0005-0000-0000-0000830E0000}"/>
    <cellStyle name="40% - Accent1 7 2 2" xfId="7898" xr:uid="{00000000-0005-0000-0000-0000011F0000}"/>
    <cellStyle name="40% - Accent1 7 2 2 2" xfId="17489" xr:uid="{9726B8AE-3EDF-4DA9-8FF9-E00001CB242D}"/>
    <cellStyle name="40% - Accent1 7 2 3" xfId="13268" xr:uid="{D99A35C3-0FA7-4850-8699-2AE3F20BAD47}"/>
    <cellStyle name="40% - Accent1 7 3" xfId="5753" xr:uid="{00000000-0005-0000-0000-0000A0160000}"/>
    <cellStyle name="40% - Accent1 7 3 2" xfId="15344" xr:uid="{35D46651-77FB-4A31-98FA-E5EC1B791DB1}"/>
    <cellStyle name="40% - Accent1 7 4" xfId="11039" xr:uid="{78976D4B-18D3-48A3-A4E1-A89FDFB08E93}"/>
    <cellStyle name="40% - Accent1 8" xfId="1860" xr:uid="{00000000-0005-0000-0000-00006B070000}"/>
    <cellStyle name="40% - Accent1 8 2" xfId="4089" xr:uid="{00000000-0005-0000-0000-000020100000}"/>
    <cellStyle name="40% - Accent1 8 2 2" xfId="8311" xr:uid="{00000000-0005-0000-0000-00009E200000}"/>
    <cellStyle name="40% - Accent1 8 2 2 2" xfId="17902" xr:uid="{9F262DBA-72F9-4551-8AD2-255B439E6B8D}"/>
    <cellStyle name="40% - Accent1 8 2 3" xfId="13681" xr:uid="{28557859-3BAF-42DC-9553-39D19F6AAB38}"/>
    <cellStyle name="40% - Accent1 8 3" xfId="6166" xr:uid="{00000000-0005-0000-0000-00003D180000}"/>
    <cellStyle name="40% - Accent1 8 3 2" xfId="15757" xr:uid="{3318BDA3-C954-4564-BEDD-27B336199F54}"/>
    <cellStyle name="40% - Accent1 8 4" xfId="11452" xr:uid="{5763958A-E527-47EF-BB5C-EEC048E69B8E}"/>
    <cellStyle name="40% - Accent1 9" xfId="2273" xr:uid="{00000000-0005-0000-0000-000008090000}"/>
    <cellStyle name="40% - Accent1 9 2" xfId="6579" xr:uid="{00000000-0005-0000-0000-0000DA190000}"/>
    <cellStyle name="40% - Accent1 9 2 2" xfId="16170" xr:uid="{46C32AB7-C0C1-4D89-A2AE-AB9FDFC1FA95}"/>
    <cellStyle name="40% - Accent1 9 3" xfId="11865" xr:uid="{7402C7EF-1BCF-4165-9142-26AA6B12B39B}"/>
    <cellStyle name="40% - Accent2" xfId="9593" builtinId="35" customBuiltin="1"/>
    <cellStyle name="40% - Accent2 10" xfId="4521" xr:uid="{00000000-0005-0000-0000-0000D0110000}"/>
    <cellStyle name="40% - Accent2 10 2" xfId="14112" xr:uid="{C7392D32-F290-44B0-8D4C-5F4C1858EC73}"/>
    <cellStyle name="40% - Accent2 11" xfId="8722" xr:uid="{00000000-0005-0000-0000-000039220000}"/>
    <cellStyle name="40% - Accent2 2" xfId="50" xr:uid="{00000000-0005-0000-0000-00003A000000}"/>
    <cellStyle name="40% - Accent2 2 10" xfId="8760" xr:uid="{00000000-0005-0000-0000-00005F220000}"/>
    <cellStyle name="40% - Accent2 2 11" xfId="9656" xr:uid="{1406B1DE-DA0F-4A4C-9481-102A73AFFB12}"/>
    <cellStyle name="40% - Accent2 2 2" xfId="51" xr:uid="{00000000-0005-0000-0000-00003B000000}"/>
    <cellStyle name="40% - Accent2 2 2 10" xfId="9657" xr:uid="{08A621B2-E3B3-4376-B317-B645E98791A5}"/>
    <cellStyle name="40% - Accent2 2 2 2" xfId="52" xr:uid="{00000000-0005-0000-0000-00003C000000}"/>
    <cellStyle name="40% - Accent2 2 2 2 2" xfId="590" xr:uid="{00000000-0005-0000-0000-000075020000}"/>
    <cellStyle name="40% - Accent2 2 2 2 2 2" xfId="2861" xr:uid="{00000000-0005-0000-0000-0000540B0000}"/>
    <cellStyle name="40% - Accent2 2 2 2 2 2 2" xfId="7083" xr:uid="{00000000-0005-0000-0000-0000D21B0000}"/>
    <cellStyle name="40% - Accent2 2 2 2 2 2 2 2" xfId="16674" xr:uid="{8B3A76A9-64A5-4362-80EA-235B0397DACD}"/>
    <cellStyle name="40% - Accent2 2 2 2 2 2 3" xfId="12453" xr:uid="{F7F6214D-B7F7-46E6-8A1A-E23DBF03DF45}"/>
    <cellStyle name="40% - Accent2 2 2 2 2 3" xfId="4938" xr:uid="{00000000-0005-0000-0000-000071130000}"/>
    <cellStyle name="40% - Accent2 2 2 2 2 3 2" xfId="14529" xr:uid="{51368069-6C56-45F7-BE1C-E421AA8A721B}"/>
    <cellStyle name="40% - Accent2 2 2 2 2 4" xfId="9495" xr:uid="{00000000-0005-0000-0000-00003E250000}"/>
    <cellStyle name="40% - Accent2 2 2 2 2 5" xfId="10183" xr:uid="{41CF5647-234F-49C5-8CD8-E237F90471A9}"/>
    <cellStyle name="40% - Accent2 2 2 2 3" xfId="1043" xr:uid="{00000000-0005-0000-0000-00003A040000}"/>
    <cellStyle name="40% - Accent2 2 2 2 3 2" xfId="3274" xr:uid="{00000000-0005-0000-0000-0000F10C0000}"/>
    <cellStyle name="40% - Accent2 2 2 2 3 2 2" xfId="7496" xr:uid="{00000000-0005-0000-0000-00006F1D0000}"/>
    <cellStyle name="40% - Accent2 2 2 2 3 2 2 2" xfId="17087" xr:uid="{71B3F9A0-4944-44EC-A292-5373175AC836}"/>
    <cellStyle name="40% - Accent2 2 2 2 3 2 3" xfId="12866" xr:uid="{9E0DAFE9-5C82-441D-92A4-C0857F680E95}"/>
    <cellStyle name="40% - Accent2 2 2 2 3 3" xfId="5351" xr:uid="{00000000-0005-0000-0000-00000E150000}"/>
    <cellStyle name="40% - Accent2 2 2 2 3 3 2" xfId="14942" xr:uid="{DEB89DC2-5DE3-43CE-9B0F-AEA0AE1C4859}"/>
    <cellStyle name="40% - Accent2 2 2 2 3 4" xfId="10636" xr:uid="{EA52111F-A62F-4F3D-9526-11CD71BFA2AF}"/>
    <cellStyle name="40% - Accent2 2 2 2 4" xfId="1457" xr:uid="{00000000-0005-0000-0000-0000D8050000}"/>
    <cellStyle name="40% - Accent2 2 2 2 4 2" xfId="3687" xr:uid="{00000000-0005-0000-0000-00008E0E0000}"/>
    <cellStyle name="40% - Accent2 2 2 2 4 2 2" xfId="7909" xr:uid="{00000000-0005-0000-0000-00000C1F0000}"/>
    <cellStyle name="40% - Accent2 2 2 2 4 2 2 2" xfId="17500" xr:uid="{D3A846AA-DA0D-4CBE-8B34-F4405575E3C1}"/>
    <cellStyle name="40% - Accent2 2 2 2 4 2 3" xfId="13279" xr:uid="{0C8B2BFC-EE8D-4394-B823-0EB3A1D8643D}"/>
    <cellStyle name="40% - Accent2 2 2 2 4 3" xfId="5764" xr:uid="{00000000-0005-0000-0000-0000AB160000}"/>
    <cellStyle name="40% - Accent2 2 2 2 4 3 2" xfId="15355" xr:uid="{BB49BF5F-95E0-4990-9515-533AC935BC65}"/>
    <cellStyle name="40% - Accent2 2 2 2 4 4" xfId="11050" xr:uid="{DE5063D5-31AA-42A4-83F3-20D463304FD3}"/>
    <cellStyle name="40% - Accent2 2 2 2 5" xfId="1871" xr:uid="{00000000-0005-0000-0000-000076070000}"/>
    <cellStyle name="40% - Accent2 2 2 2 5 2" xfId="4100" xr:uid="{00000000-0005-0000-0000-00002B100000}"/>
    <cellStyle name="40% - Accent2 2 2 2 5 2 2" xfId="8322" xr:uid="{00000000-0005-0000-0000-0000A9200000}"/>
    <cellStyle name="40% - Accent2 2 2 2 5 2 2 2" xfId="17913" xr:uid="{780D4D64-2E40-4CA7-A9F7-9CD7FB8F9349}"/>
    <cellStyle name="40% - Accent2 2 2 2 5 2 3" xfId="13692" xr:uid="{097F8EAA-7520-4C0C-AB27-F9EABB6A0EE4}"/>
    <cellStyle name="40% - Accent2 2 2 2 5 3" xfId="6177" xr:uid="{00000000-0005-0000-0000-000048180000}"/>
    <cellStyle name="40% - Accent2 2 2 2 5 3 2" xfId="15768" xr:uid="{FAE7808E-B158-4174-B2E2-C3190C042DEA}"/>
    <cellStyle name="40% - Accent2 2 2 2 5 4" xfId="11463" xr:uid="{A53695B0-9710-40FF-9293-B5B3CB5AD197}"/>
    <cellStyle name="40% - Accent2 2 2 2 6" xfId="2284" xr:uid="{00000000-0005-0000-0000-000013090000}"/>
    <cellStyle name="40% - Accent2 2 2 2 6 2" xfId="6590" xr:uid="{00000000-0005-0000-0000-0000E5190000}"/>
    <cellStyle name="40% - Accent2 2 2 2 6 2 2" xfId="16181" xr:uid="{E10539C5-FFE1-4996-931B-DD252E49AEB2}"/>
    <cellStyle name="40% - Accent2 2 2 2 6 3" xfId="11876" xr:uid="{E1C45F33-185C-4DD2-898C-8010A4CAD269}"/>
    <cellStyle name="40% - Accent2 2 2 2 7" xfId="4524" xr:uid="{00000000-0005-0000-0000-0000D3110000}"/>
    <cellStyle name="40% - Accent2 2 2 2 7 2" xfId="14115" xr:uid="{8A0AB5BD-E732-4CE2-8210-7F0D5869FD79}"/>
    <cellStyle name="40% - Accent2 2 2 2 8" xfId="9070" xr:uid="{00000000-0005-0000-0000-000095230000}"/>
    <cellStyle name="40% - Accent2 2 2 2 9" xfId="9658" xr:uid="{7EB1368B-3019-49FE-AEB6-A78CB6021103}"/>
    <cellStyle name="40% - Accent2 2 2 3" xfId="589" xr:uid="{00000000-0005-0000-0000-000074020000}"/>
    <cellStyle name="40% - Accent2 2 2 3 2" xfId="2860" xr:uid="{00000000-0005-0000-0000-0000530B0000}"/>
    <cellStyle name="40% - Accent2 2 2 3 2 2" xfId="7082" xr:uid="{00000000-0005-0000-0000-0000D11B0000}"/>
    <cellStyle name="40% - Accent2 2 2 3 2 2 2" xfId="16673" xr:uid="{6FDECDD0-6404-4C13-9FC1-C9A7BE0D8369}"/>
    <cellStyle name="40% - Accent2 2 2 3 2 3" xfId="12452" xr:uid="{9B1FD98C-4E3B-4C4C-930D-C242F41D3FA5}"/>
    <cellStyle name="40% - Accent2 2 2 3 3" xfId="4937" xr:uid="{00000000-0005-0000-0000-000070130000}"/>
    <cellStyle name="40% - Accent2 2 2 3 3 2" xfId="14528" xr:uid="{4E23746F-33C3-4E10-8406-A640AEC80480}"/>
    <cellStyle name="40% - Accent2 2 2 3 4" xfId="9288" xr:uid="{00000000-0005-0000-0000-00006F240000}"/>
    <cellStyle name="40% - Accent2 2 2 3 5" xfId="10182" xr:uid="{546D5421-4395-4531-983C-66901CAB720E}"/>
    <cellStyle name="40% - Accent2 2 2 4" xfId="1042" xr:uid="{00000000-0005-0000-0000-000039040000}"/>
    <cellStyle name="40% - Accent2 2 2 4 2" xfId="3273" xr:uid="{00000000-0005-0000-0000-0000F00C0000}"/>
    <cellStyle name="40% - Accent2 2 2 4 2 2" xfId="7495" xr:uid="{00000000-0005-0000-0000-00006E1D0000}"/>
    <cellStyle name="40% - Accent2 2 2 4 2 2 2" xfId="17086" xr:uid="{136940D6-FE0C-438C-AA02-3017A6041C4A}"/>
    <cellStyle name="40% - Accent2 2 2 4 2 3" xfId="12865" xr:uid="{73FAC435-E713-4C38-8190-AA51353B9B49}"/>
    <cellStyle name="40% - Accent2 2 2 4 3" xfId="5350" xr:uid="{00000000-0005-0000-0000-00000D150000}"/>
    <cellStyle name="40% - Accent2 2 2 4 3 2" xfId="14941" xr:uid="{7957DF2D-58AF-4D04-8D82-D06148CAB37C}"/>
    <cellStyle name="40% - Accent2 2 2 4 4" xfId="10635" xr:uid="{2096541B-E973-4BB0-9DAC-F807EE90BE84}"/>
    <cellStyle name="40% - Accent2 2 2 5" xfId="1456" xr:uid="{00000000-0005-0000-0000-0000D7050000}"/>
    <cellStyle name="40% - Accent2 2 2 5 2" xfId="3686" xr:uid="{00000000-0005-0000-0000-00008D0E0000}"/>
    <cellStyle name="40% - Accent2 2 2 5 2 2" xfId="7908" xr:uid="{00000000-0005-0000-0000-00000B1F0000}"/>
    <cellStyle name="40% - Accent2 2 2 5 2 2 2" xfId="17499" xr:uid="{83319C35-C8D9-4B58-8885-C01D4C18D818}"/>
    <cellStyle name="40% - Accent2 2 2 5 2 3" xfId="13278" xr:uid="{6CF40C5A-9983-43C9-8E82-C7B268BE2392}"/>
    <cellStyle name="40% - Accent2 2 2 5 3" xfId="5763" xr:uid="{00000000-0005-0000-0000-0000AA160000}"/>
    <cellStyle name="40% - Accent2 2 2 5 3 2" xfId="15354" xr:uid="{A65C152A-27A7-48BD-AE26-9DC33A5C0FCC}"/>
    <cellStyle name="40% - Accent2 2 2 5 4" xfId="11049" xr:uid="{C53132E5-2ADB-47C2-A430-973171E165E5}"/>
    <cellStyle name="40% - Accent2 2 2 6" xfId="1870" xr:uid="{00000000-0005-0000-0000-000075070000}"/>
    <cellStyle name="40% - Accent2 2 2 6 2" xfId="4099" xr:uid="{00000000-0005-0000-0000-00002A100000}"/>
    <cellStyle name="40% - Accent2 2 2 6 2 2" xfId="8321" xr:uid="{00000000-0005-0000-0000-0000A8200000}"/>
    <cellStyle name="40% - Accent2 2 2 6 2 2 2" xfId="17912" xr:uid="{49AE1FEE-FB42-4ED8-A768-2F8870FC6763}"/>
    <cellStyle name="40% - Accent2 2 2 6 2 3" xfId="13691" xr:uid="{C4FFA996-7AAD-4375-955C-074C7040315E}"/>
    <cellStyle name="40% - Accent2 2 2 6 3" xfId="6176" xr:uid="{00000000-0005-0000-0000-000047180000}"/>
    <cellStyle name="40% - Accent2 2 2 6 3 2" xfId="15767" xr:uid="{292EF4C6-4327-4E59-B855-8BC04C50FEBC}"/>
    <cellStyle name="40% - Accent2 2 2 6 4" xfId="11462" xr:uid="{D07597B6-1170-4635-B514-F8F95C5D7A67}"/>
    <cellStyle name="40% - Accent2 2 2 7" xfId="2283" xr:uid="{00000000-0005-0000-0000-000012090000}"/>
    <cellStyle name="40% - Accent2 2 2 7 2" xfId="6589" xr:uid="{00000000-0005-0000-0000-0000E4190000}"/>
    <cellStyle name="40% - Accent2 2 2 7 2 2" xfId="16180" xr:uid="{973B3B59-B3CC-4B3D-B32B-CED4AB762AA9}"/>
    <cellStyle name="40% - Accent2 2 2 7 3" xfId="11875" xr:uid="{C42B980D-7654-482F-897C-0FB1A4F57F24}"/>
    <cellStyle name="40% - Accent2 2 2 8" xfId="4523" xr:uid="{00000000-0005-0000-0000-0000D2110000}"/>
    <cellStyle name="40% - Accent2 2 2 8 2" xfId="14114" xr:uid="{71E3BE9E-77E8-4D9B-83A6-A25A4065BB6D}"/>
    <cellStyle name="40% - Accent2 2 2 9" xfId="8863" xr:uid="{00000000-0005-0000-0000-0000C6220000}"/>
    <cellStyle name="40% - Accent2 2 3" xfId="53" xr:uid="{00000000-0005-0000-0000-00003D000000}"/>
    <cellStyle name="40% - Accent2 2 3 2" xfId="591" xr:uid="{00000000-0005-0000-0000-000076020000}"/>
    <cellStyle name="40% - Accent2 2 3 2 2" xfId="2862" xr:uid="{00000000-0005-0000-0000-0000550B0000}"/>
    <cellStyle name="40% - Accent2 2 3 2 2 2" xfId="7084" xr:uid="{00000000-0005-0000-0000-0000D31B0000}"/>
    <cellStyle name="40% - Accent2 2 3 2 2 2 2" xfId="16675" xr:uid="{DCBE09AD-098B-4A22-BAE4-C7091C2A86AD}"/>
    <cellStyle name="40% - Accent2 2 3 2 2 3" xfId="12454" xr:uid="{6C0D78B0-2BC5-4381-BA0E-D999E8A0ACF4}"/>
    <cellStyle name="40% - Accent2 2 3 2 3" xfId="4939" xr:uid="{00000000-0005-0000-0000-000072130000}"/>
    <cellStyle name="40% - Accent2 2 3 2 3 2" xfId="14530" xr:uid="{380792C8-0328-4115-9A73-E433A42BCF77}"/>
    <cellStyle name="40% - Accent2 2 3 2 4" xfId="9392" xr:uid="{00000000-0005-0000-0000-0000D7240000}"/>
    <cellStyle name="40% - Accent2 2 3 2 5" xfId="10184" xr:uid="{EFD8DE86-0CFF-4A92-84BF-1AE7968775C2}"/>
    <cellStyle name="40% - Accent2 2 3 3" xfId="1044" xr:uid="{00000000-0005-0000-0000-00003B040000}"/>
    <cellStyle name="40% - Accent2 2 3 3 2" xfId="3275" xr:uid="{00000000-0005-0000-0000-0000F20C0000}"/>
    <cellStyle name="40% - Accent2 2 3 3 2 2" xfId="7497" xr:uid="{00000000-0005-0000-0000-0000701D0000}"/>
    <cellStyle name="40% - Accent2 2 3 3 2 2 2" xfId="17088" xr:uid="{E97782B2-7D3A-4311-96F9-3DDBBC0AD149}"/>
    <cellStyle name="40% - Accent2 2 3 3 2 3" xfId="12867" xr:uid="{5BE66A40-8AE1-4657-B2AF-7D62F5B6B9F7}"/>
    <cellStyle name="40% - Accent2 2 3 3 3" xfId="5352" xr:uid="{00000000-0005-0000-0000-00000F150000}"/>
    <cellStyle name="40% - Accent2 2 3 3 3 2" xfId="14943" xr:uid="{D4E916BF-11F4-4D35-9D6E-A73486EAB0B1}"/>
    <cellStyle name="40% - Accent2 2 3 3 4" xfId="10637" xr:uid="{9EA8C47D-C450-407A-9EA3-F123F1577CEC}"/>
    <cellStyle name="40% - Accent2 2 3 4" xfId="1458" xr:uid="{00000000-0005-0000-0000-0000D9050000}"/>
    <cellStyle name="40% - Accent2 2 3 4 2" xfId="3688" xr:uid="{00000000-0005-0000-0000-00008F0E0000}"/>
    <cellStyle name="40% - Accent2 2 3 4 2 2" xfId="7910" xr:uid="{00000000-0005-0000-0000-00000D1F0000}"/>
    <cellStyle name="40% - Accent2 2 3 4 2 2 2" xfId="17501" xr:uid="{A28B6B28-15D9-4067-B3A5-B898C8A4B95E}"/>
    <cellStyle name="40% - Accent2 2 3 4 2 3" xfId="13280" xr:uid="{8AFB33AB-57A1-43F4-950C-1FA49740B126}"/>
    <cellStyle name="40% - Accent2 2 3 4 3" xfId="5765" xr:uid="{00000000-0005-0000-0000-0000AC160000}"/>
    <cellStyle name="40% - Accent2 2 3 4 3 2" xfId="15356" xr:uid="{4435D830-DD69-4FC4-97E9-48231E3B5F97}"/>
    <cellStyle name="40% - Accent2 2 3 4 4" xfId="11051" xr:uid="{2D06D8FA-36AE-4926-BAC4-A94FBC49D953}"/>
    <cellStyle name="40% - Accent2 2 3 5" xfId="1872" xr:uid="{00000000-0005-0000-0000-000077070000}"/>
    <cellStyle name="40% - Accent2 2 3 5 2" xfId="4101" xr:uid="{00000000-0005-0000-0000-00002C100000}"/>
    <cellStyle name="40% - Accent2 2 3 5 2 2" xfId="8323" xr:uid="{00000000-0005-0000-0000-0000AA200000}"/>
    <cellStyle name="40% - Accent2 2 3 5 2 2 2" xfId="17914" xr:uid="{1D0E77C4-CCC7-49E5-866E-F12C921B9080}"/>
    <cellStyle name="40% - Accent2 2 3 5 2 3" xfId="13693" xr:uid="{95B47F2F-E85F-4B6A-AE40-0249EE37628E}"/>
    <cellStyle name="40% - Accent2 2 3 5 3" xfId="6178" xr:uid="{00000000-0005-0000-0000-000049180000}"/>
    <cellStyle name="40% - Accent2 2 3 5 3 2" xfId="15769" xr:uid="{B7CED217-F8F3-40DE-B923-C314AE16C6CD}"/>
    <cellStyle name="40% - Accent2 2 3 5 4" xfId="11464" xr:uid="{35032306-3402-47DD-834C-C7230333787B}"/>
    <cellStyle name="40% - Accent2 2 3 6" xfId="2285" xr:uid="{00000000-0005-0000-0000-000014090000}"/>
    <cellStyle name="40% - Accent2 2 3 6 2" xfId="6591" xr:uid="{00000000-0005-0000-0000-0000E6190000}"/>
    <cellStyle name="40% - Accent2 2 3 6 2 2" xfId="16182" xr:uid="{AAB2E180-D207-43D4-9E00-C44C4FC6A7E2}"/>
    <cellStyle name="40% - Accent2 2 3 6 3" xfId="11877" xr:uid="{3CFA4BFE-C742-4B31-A88A-B21A6EB1273C}"/>
    <cellStyle name="40% - Accent2 2 3 7" xfId="4525" xr:uid="{00000000-0005-0000-0000-0000D4110000}"/>
    <cellStyle name="40% - Accent2 2 3 7 2" xfId="14116" xr:uid="{BC2B438B-4234-49D9-BF4C-F263E066F0B7}"/>
    <cellStyle name="40% - Accent2 2 3 8" xfId="8967" xr:uid="{00000000-0005-0000-0000-00002E230000}"/>
    <cellStyle name="40% - Accent2 2 3 9" xfId="9659" xr:uid="{E67B2A2C-9982-40F1-B2FC-AB64A1D874B8}"/>
    <cellStyle name="40% - Accent2 2 4" xfId="588" xr:uid="{00000000-0005-0000-0000-000073020000}"/>
    <cellStyle name="40% - Accent2 2 4 2" xfId="2859" xr:uid="{00000000-0005-0000-0000-0000520B0000}"/>
    <cellStyle name="40% - Accent2 2 4 2 2" xfId="7081" xr:uid="{00000000-0005-0000-0000-0000D01B0000}"/>
    <cellStyle name="40% - Accent2 2 4 2 2 2" xfId="16672" xr:uid="{E7BEA555-21F3-46D9-ADAB-4F0936343E57}"/>
    <cellStyle name="40% - Accent2 2 4 2 3" xfId="12451" xr:uid="{04816A16-20D2-4B84-90B4-064087F282B2}"/>
    <cellStyle name="40% - Accent2 2 4 3" xfId="4936" xr:uid="{00000000-0005-0000-0000-00006F130000}"/>
    <cellStyle name="40% - Accent2 2 4 3 2" xfId="14527" xr:uid="{2D8F45D9-55EB-416F-9B77-E267539D841F}"/>
    <cellStyle name="40% - Accent2 2 4 4" xfId="9184" xr:uid="{00000000-0005-0000-0000-000007240000}"/>
    <cellStyle name="40% - Accent2 2 4 5" xfId="10181" xr:uid="{BDC152F1-472A-4743-A012-B8373C9E3A36}"/>
    <cellStyle name="40% - Accent2 2 5" xfId="1041" xr:uid="{00000000-0005-0000-0000-000038040000}"/>
    <cellStyle name="40% - Accent2 2 5 2" xfId="3272" xr:uid="{00000000-0005-0000-0000-0000EF0C0000}"/>
    <cellStyle name="40% - Accent2 2 5 2 2" xfId="7494" xr:uid="{00000000-0005-0000-0000-00006D1D0000}"/>
    <cellStyle name="40% - Accent2 2 5 2 2 2" xfId="17085" xr:uid="{F7FD262C-372A-4787-9493-CE36009EE905}"/>
    <cellStyle name="40% - Accent2 2 5 2 3" xfId="12864" xr:uid="{4377337B-3266-4D78-A549-487CC2A96E4C}"/>
    <cellStyle name="40% - Accent2 2 5 3" xfId="5349" xr:uid="{00000000-0005-0000-0000-00000C150000}"/>
    <cellStyle name="40% - Accent2 2 5 3 2" xfId="14940" xr:uid="{18E269EF-FF5E-4203-8F8A-C9B8645E0D41}"/>
    <cellStyle name="40% - Accent2 2 5 4" xfId="10634" xr:uid="{7D9BAFA9-43EA-4BEB-A803-956538C06C3A}"/>
    <cellStyle name="40% - Accent2 2 6" xfId="1455" xr:uid="{00000000-0005-0000-0000-0000D6050000}"/>
    <cellStyle name="40% - Accent2 2 6 2" xfId="3685" xr:uid="{00000000-0005-0000-0000-00008C0E0000}"/>
    <cellStyle name="40% - Accent2 2 6 2 2" xfId="7907" xr:uid="{00000000-0005-0000-0000-00000A1F0000}"/>
    <cellStyle name="40% - Accent2 2 6 2 2 2" xfId="17498" xr:uid="{61B3DEF8-44E1-4A0D-83B1-7080F96A4941}"/>
    <cellStyle name="40% - Accent2 2 6 2 3" xfId="13277" xr:uid="{DDAB51C4-C976-4A2D-9FCA-D2FB5B7EA7D4}"/>
    <cellStyle name="40% - Accent2 2 6 3" xfId="5762" xr:uid="{00000000-0005-0000-0000-0000A9160000}"/>
    <cellStyle name="40% - Accent2 2 6 3 2" xfId="15353" xr:uid="{2E765D1B-869D-4945-AE46-46F9288DF714}"/>
    <cellStyle name="40% - Accent2 2 6 4" xfId="11048" xr:uid="{DE96B874-29D1-47B9-B0B9-3632CE507143}"/>
    <cellStyle name="40% - Accent2 2 7" xfId="1869" xr:uid="{00000000-0005-0000-0000-000074070000}"/>
    <cellStyle name="40% - Accent2 2 7 2" xfId="4098" xr:uid="{00000000-0005-0000-0000-000029100000}"/>
    <cellStyle name="40% - Accent2 2 7 2 2" xfId="8320" xr:uid="{00000000-0005-0000-0000-0000A7200000}"/>
    <cellStyle name="40% - Accent2 2 7 2 2 2" xfId="17911" xr:uid="{90669925-74F1-43F2-A22E-98EA1632BB3D}"/>
    <cellStyle name="40% - Accent2 2 7 2 3" xfId="13690" xr:uid="{922AF2AD-3F7F-48E1-BF75-3FD3ED6D3883}"/>
    <cellStyle name="40% - Accent2 2 7 3" xfId="6175" xr:uid="{00000000-0005-0000-0000-000046180000}"/>
    <cellStyle name="40% - Accent2 2 7 3 2" xfId="15766" xr:uid="{2BD0B6CF-8016-485F-A36F-817E17975164}"/>
    <cellStyle name="40% - Accent2 2 7 4" xfId="11461" xr:uid="{5492122C-C61E-461B-B70C-A5F1A4BD086F}"/>
    <cellStyle name="40% - Accent2 2 8" xfId="2282" xr:uid="{00000000-0005-0000-0000-000011090000}"/>
    <cellStyle name="40% - Accent2 2 8 2" xfId="6588" xr:uid="{00000000-0005-0000-0000-0000E3190000}"/>
    <cellStyle name="40% - Accent2 2 8 2 2" xfId="16179" xr:uid="{614CECF5-31ED-4A5A-B7F7-983E6E299271}"/>
    <cellStyle name="40% - Accent2 2 8 3" xfId="11874" xr:uid="{766CA6AD-36C3-4B06-AC81-D4758B4A5A45}"/>
    <cellStyle name="40% - Accent2 2 9" xfId="4522" xr:uid="{00000000-0005-0000-0000-0000D1110000}"/>
    <cellStyle name="40% - Accent2 2 9 2" xfId="14113" xr:uid="{C0FBB393-2A08-4EF2-A599-2CE55753B67D}"/>
    <cellStyle name="40% - Accent2 3" xfId="54" xr:uid="{00000000-0005-0000-0000-00003E000000}"/>
    <cellStyle name="40% - Accent2 3 10" xfId="9660" xr:uid="{04210A95-EA4A-4E7B-B63B-42B77915F600}"/>
    <cellStyle name="40% - Accent2 3 2" xfId="55" xr:uid="{00000000-0005-0000-0000-00003F000000}"/>
    <cellStyle name="40% - Accent2 3 2 2" xfId="593" xr:uid="{00000000-0005-0000-0000-000078020000}"/>
    <cellStyle name="40% - Accent2 3 2 2 2" xfId="2864" xr:uid="{00000000-0005-0000-0000-0000570B0000}"/>
    <cellStyle name="40% - Accent2 3 2 2 2 2" xfId="7086" xr:uid="{00000000-0005-0000-0000-0000D51B0000}"/>
    <cellStyle name="40% - Accent2 3 2 2 2 2 2" xfId="16677" xr:uid="{40FA3360-BD80-4AA8-8E95-58AEDAD44509}"/>
    <cellStyle name="40% - Accent2 3 2 2 2 3" xfId="12456" xr:uid="{7FDA7D59-9B1F-4BFA-8E52-2DA01914583D}"/>
    <cellStyle name="40% - Accent2 3 2 2 3" xfId="4941" xr:uid="{00000000-0005-0000-0000-000074130000}"/>
    <cellStyle name="40% - Accent2 3 2 2 3 2" xfId="14532" xr:uid="{C415EF7E-E6C2-45B0-9FA6-DCF9D556D00C}"/>
    <cellStyle name="40% - Accent2 3 2 2 4" xfId="9457" xr:uid="{00000000-0005-0000-0000-000018250000}"/>
    <cellStyle name="40% - Accent2 3 2 2 5" xfId="10186" xr:uid="{6C290A41-BDE3-4AFF-8261-D21C56A9BD7B}"/>
    <cellStyle name="40% - Accent2 3 2 3" xfId="1046" xr:uid="{00000000-0005-0000-0000-00003D040000}"/>
    <cellStyle name="40% - Accent2 3 2 3 2" xfId="3277" xr:uid="{00000000-0005-0000-0000-0000F40C0000}"/>
    <cellStyle name="40% - Accent2 3 2 3 2 2" xfId="7499" xr:uid="{00000000-0005-0000-0000-0000721D0000}"/>
    <cellStyle name="40% - Accent2 3 2 3 2 2 2" xfId="17090" xr:uid="{40A5FA2E-5D62-48EF-986A-B3606783ABA2}"/>
    <cellStyle name="40% - Accent2 3 2 3 2 3" xfId="12869" xr:uid="{B48D04B9-0FDD-465C-ADDB-00E3A7BE3F68}"/>
    <cellStyle name="40% - Accent2 3 2 3 3" xfId="5354" xr:uid="{00000000-0005-0000-0000-000011150000}"/>
    <cellStyle name="40% - Accent2 3 2 3 3 2" xfId="14945" xr:uid="{F5DA4E0F-25FA-43BA-A0C0-2855EEA64645}"/>
    <cellStyle name="40% - Accent2 3 2 3 4" xfId="10639" xr:uid="{054E5EE2-BA13-4596-B43D-B2EE9F19B193}"/>
    <cellStyle name="40% - Accent2 3 2 4" xfId="1460" xr:uid="{00000000-0005-0000-0000-0000DB050000}"/>
    <cellStyle name="40% - Accent2 3 2 4 2" xfId="3690" xr:uid="{00000000-0005-0000-0000-0000910E0000}"/>
    <cellStyle name="40% - Accent2 3 2 4 2 2" xfId="7912" xr:uid="{00000000-0005-0000-0000-00000F1F0000}"/>
    <cellStyle name="40% - Accent2 3 2 4 2 2 2" xfId="17503" xr:uid="{5498105B-A129-48BF-8299-5BDE4AD5A026}"/>
    <cellStyle name="40% - Accent2 3 2 4 2 3" xfId="13282" xr:uid="{356BB4E8-C7BB-4D08-9270-40BDD7CD1688}"/>
    <cellStyle name="40% - Accent2 3 2 4 3" xfId="5767" xr:uid="{00000000-0005-0000-0000-0000AE160000}"/>
    <cellStyle name="40% - Accent2 3 2 4 3 2" xfId="15358" xr:uid="{0FA85D41-D82C-486E-B1B6-22D7005022A4}"/>
    <cellStyle name="40% - Accent2 3 2 4 4" xfId="11053" xr:uid="{274A5B38-1EE6-4C04-9089-AB3C33B7D8DE}"/>
    <cellStyle name="40% - Accent2 3 2 5" xfId="1874" xr:uid="{00000000-0005-0000-0000-000079070000}"/>
    <cellStyle name="40% - Accent2 3 2 5 2" xfId="4103" xr:uid="{00000000-0005-0000-0000-00002E100000}"/>
    <cellStyle name="40% - Accent2 3 2 5 2 2" xfId="8325" xr:uid="{00000000-0005-0000-0000-0000AC200000}"/>
    <cellStyle name="40% - Accent2 3 2 5 2 2 2" xfId="17916" xr:uid="{3F9277D6-985A-4D64-BD42-5BC0797D8E27}"/>
    <cellStyle name="40% - Accent2 3 2 5 2 3" xfId="13695" xr:uid="{74E7FFCE-0354-4E3F-B714-D1EC4A9C665A}"/>
    <cellStyle name="40% - Accent2 3 2 5 3" xfId="6180" xr:uid="{00000000-0005-0000-0000-00004B180000}"/>
    <cellStyle name="40% - Accent2 3 2 5 3 2" xfId="15771" xr:uid="{5C9E7D3C-99B6-4EB7-BC33-75A85B2C06B4}"/>
    <cellStyle name="40% - Accent2 3 2 5 4" xfId="11466" xr:uid="{D5E401B8-261F-49B3-AF64-82BD364FB9B5}"/>
    <cellStyle name="40% - Accent2 3 2 6" xfId="2287" xr:uid="{00000000-0005-0000-0000-000016090000}"/>
    <cellStyle name="40% - Accent2 3 2 6 2" xfId="6593" xr:uid="{00000000-0005-0000-0000-0000E8190000}"/>
    <cellStyle name="40% - Accent2 3 2 6 2 2" xfId="16184" xr:uid="{A29CE175-5E3C-49B6-AD08-091E3CFFF3CE}"/>
    <cellStyle name="40% - Accent2 3 2 6 3" xfId="11879" xr:uid="{EDDD94FA-C707-480D-A1EF-F63A21BE35E3}"/>
    <cellStyle name="40% - Accent2 3 2 7" xfId="4527" xr:uid="{00000000-0005-0000-0000-0000D6110000}"/>
    <cellStyle name="40% - Accent2 3 2 7 2" xfId="14118" xr:uid="{1CA636D1-BD1F-4CC5-89D8-5369735E4AD1}"/>
    <cellStyle name="40% - Accent2 3 2 8" xfId="9032" xr:uid="{00000000-0005-0000-0000-00006F230000}"/>
    <cellStyle name="40% - Accent2 3 2 9" xfId="9661" xr:uid="{948B0CCC-6F39-43DC-902C-164044933B64}"/>
    <cellStyle name="40% - Accent2 3 3" xfId="592" xr:uid="{00000000-0005-0000-0000-000077020000}"/>
    <cellStyle name="40% - Accent2 3 3 2" xfId="2863" xr:uid="{00000000-0005-0000-0000-0000560B0000}"/>
    <cellStyle name="40% - Accent2 3 3 2 2" xfId="7085" xr:uid="{00000000-0005-0000-0000-0000D41B0000}"/>
    <cellStyle name="40% - Accent2 3 3 2 2 2" xfId="16676" xr:uid="{BEA89AC5-3551-4428-98E6-D4A82C151C5C}"/>
    <cellStyle name="40% - Accent2 3 3 2 3" xfId="12455" xr:uid="{7C9913CC-CD55-486F-85D1-D254F37C3BD3}"/>
    <cellStyle name="40% - Accent2 3 3 3" xfId="4940" xr:uid="{00000000-0005-0000-0000-000073130000}"/>
    <cellStyle name="40% - Accent2 3 3 3 2" xfId="14531" xr:uid="{BBDB9BEC-E1A2-4066-9E05-DE03DA4C1CF0}"/>
    <cellStyle name="40% - Accent2 3 3 4" xfId="9250" xr:uid="{00000000-0005-0000-0000-000049240000}"/>
    <cellStyle name="40% - Accent2 3 3 5" xfId="10185" xr:uid="{1B5324B5-2BF3-47AB-91E2-B44E11F1A46C}"/>
    <cellStyle name="40% - Accent2 3 4" xfId="1045" xr:uid="{00000000-0005-0000-0000-00003C040000}"/>
    <cellStyle name="40% - Accent2 3 4 2" xfId="3276" xr:uid="{00000000-0005-0000-0000-0000F30C0000}"/>
    <cellStyle name="40% - Accent2 3 4 2 2" xfId="7498" xr:uid="{00000000-0005-0000-0000-0000711D0000}"/>
    <cellStyle name="40% - Accent2 3 4 2 2 2" xfId="17089" xr:uid="{3888B173-3AF2-443D-A841-3388C2EC5DA1}"/>
    <cellStyle name="40% - Accent2 3 4 2 3" xfId="12868" xr:uid="{146C1E5F-BB89-4A2F-9B42-A6109ABFF789}"/>
    <cellStyle name="40% - Accent2 3 4 3" xfId="5353" xr:uid="{00000000-0005-0000-0000-000010150000}"/>
    <cellStyle name="40% - Accent2 3 4 3 2" xfId="14944" xr:uid="{16AEFA05-42A8-4038-BEFE-57A752E07FF8}"/>
    <cellStyle name="40% - Accent2 3 4 4" xfId="10638" xr:uid="{793572E8-DFDF-4192-A807-EA919DA93658}"/>
    <cellStyle name="40% - Accent2 3 5" xfId="1459" xr:uid="{00000000-0005-0000-0000-0000DA050000}"/>
    <cellStyle name="40% - Accent2 3 5 2" xfId="3689" xr:uid="{00000000-0005-0000-0000-0000900E0000}"/>
    <cellStyle name="40% - Accent2 3 5 2 2" xfId="7911" xr:uid="{00000000-0005-0000-0000-00000E1F0000}"/>
    <cellStyle name="40% - Accent2 3 5 2 2 2" xfId="17502" xr:uid="{6D137AEE-1934-4568-9F97-20E9A69671F3}"/>
    <cellStyle name="40% - Accent2 3 5 2 3" xfId="13281" xr:uid="{D7A56D14-1F67-440F-87DB-5DAAD77BE5F5}"/>
    <cellStyle name="40% - Accent2 3 5 3" xfId="5766" xr:uid="{00000000-0005-0000-0000-0000AD160000}"/>
    <cellStyle name="40% - Accent2 3 5 3 2" xfId="15357" xr:uid="{E3019BA0-B8D8-471E-87AC-ACFEC8CCB5E6}"/>
    <cellStyle name="40% - Accent2 3 5 4" xfId="11052" xr:uid="{2FDFF660-C9C3-4CC1-B06C-1A66AA46E7E6}"/>
    <cellStyle name="40% - Accent2 3 6" xfId="1873" xr:uid="{00000000-0005-0000-0000-000078070000}"/>
    <cellStyle name="40% - Accent2 3 6 2" xfId="4102" xr:uid="{00000000-0005-0000-0000-00002D100000}"/>
    <cellStyle name="40% - Accent2 3 6 2 2" xfId="8324" xr:uid="{00000000-0005-0000-0000-0000AB200000}"/>
    <cellStyle name="40% - Accent2 3 6 2 2 2" xfId="17915" xr:uid="{D099A6F8-99D8-4CAE-AEB7-C6B1B94E93EC}"/>
    <cellStyle name="40% - Accent2 3 6 2 3" xfId="13694" xr:uid="{7922AD9F-CB18-4A2A-822E-D5099FDDBEA9}"/>
    <cellStyle name="40% - Accent2 3 6 3" xfId="6179" xr:uid="{00000000-0005-0000-0000-00004A180000}"/>
    <cellStyle name="40% - Accent2 3 6 3 2" xfId="15770" xr:uid="{6F73D524-6A4D-4D6A-9F4F-537589606AA6}"/>
    <cellStyle name="40% - Accent2 3 6 4" xfId="11465" xr:uid="{3EE8B4EF-0BEF-4B84-BC54-E84ABCEACB1F}"/>
    <cellStyle name="40% - Accent2 3 7" xfId="2286" xr:uid="{00000000-0005-0000-0000-000015090000}"/>
    <cellStyle name="40% - Accent2 3 7 2" xfId="6592" xr:uid="{00000000-0005-0000-0000-0000E7190000}"/>
    <cellStyle name="40% - Accent2 3 7 2 2" xfId="16183" xr:uid="{23215B49-0A58-4A14-9B35-1622679A01D1}"/>
    <cellStyle name="40% - Accent2 3 7 3" xfId="11878" xr:uid="{4A3506CA-37F4-4C8F-8E33-BEE1927A6C04}"/>
    <cellStyle name="40% - Accent2 3 8" xfId="4526" xr:uid="{00000000-0005-0000-0000-0000D5110000}"/>
    <cellStyle name="40% - Accent2 3 8 2" xfId="14117" xr:uid="{F7391482-2745-4703-8079-E360C41158CB}"/>
    <cellStyle name="40% - Accent2 3 9" xfId="8825" xr:uid="{00000000-0005-0000-0000-0000A0220000}"/>
    <cellStyle name="40% - Accent2 4" xfId="56" xr:uid="{00000000-0005-0000-0000-000040000000}"/>
    <cellStyle name="40% - Accent2 4 2" xfId="594" xr:uid="{00000000-0005-0000-0000-000079020000}"/>
    <cellStyle name="40% - Accent2 4 2 2" xfId="2865" xr:uid="{00000000-0005-0000-0000-0000580B0000}"/>
    <cellStyle name="40% - Accent2 4 2 2 2" xfId="7087" xr:uid="{00000000-0005-0000-0000-0000D61B0000}"/>
    <cellStyle name="40% - Accent2 4 2 2 2 2" xfId="16678" xr:uid="{6A4E2E8A-9F7B-4F24-A62F-F4D62E706420}"/>
    <cellStyle name="40% - Accent2 4 2 2 3" xfId="12457" xr:uid="{102C1EEB-8AB9-4239-A1D2-0A51FFBF5D05}"/>
    <cellStyle name="40% - Accent2 4 2 3" xfId="4942" xr:uid="{00000000-0005-0000-0000-000075130000}"/>
    <cellStyle name="40% - Accent2 4 2 3 2" xfId="14533" xr:uid="{934FF10A-AB52-4CC0-8167-40D0C9985B36}"/>
    <cellStyle name="40% - Accent2 4 2 4" xfId="9336" xr:uid="{00000000-0005-0000-0000-00009F240000}"/>
    <cellStyle name="40% - Accent2 4 2 5" xfId="10187" xr:uid="{B4ED9B9D-3AF6-41F7-B72E-447D3A7C348D}"/>
    <cellStyle name="40% - Accent2 4 3" xfId="1047" xr:uid="{00000000-0005-0000-0000-00003E040000}"/>
    <cellStyle name="40% - Accent2 4 3 2" xfId="3278" xr:uid="{00000000-0005-0000-0000-0000F50C0000}"/>
    <cellStyle name="40% - Accent2 4 3 2 2" xfId="7500" xr:uid="{00000000-0005-0000-0000-0000731D0000}"/>
    <cellStyle name="40% - Accent2 4 3 2 2 2" xfId="17091" xr:uid="{AEB458CE-15E2-43B1-873C-B39AECE3307A}"/>
    <cellStyle name="40% - Accent2 4 3 2 3" xfId="12870" xr:uid="{926FBD04-5BBE-4AD5-9C65-D1A31998F54E}"/>
    <cellStyle name="40% - Accent2 4 3 3" xfId="5355" xr:uid="{00000000-0005-0000-0000-000012150000}"/>
    <cellStyle name="40% - Accent2 4 3 3 2" xfId="14946" xr:uid="{DEEEF58B-6ADD-4BEC-B7E8-DBB2048A94A8}"/>
    <cellStyle name="40% - Accent2 4 3 4" xfId="10640" xr:uid="{1C57770D-AF12-4045-818F-FDD1E2FE9E66}"/>
    <cellStyle name="40% - Accent2 4 4" xfId="1461" xr:uid="{00000000-0005-0000-0000-0000DC050000}"/>
    <cellStyle name="40% - Accent2 4 4 2" xfId="3691" xr:uid="{00000000-0005-0000-0000-0000920E0000}"/>
    <cellStyle name="40% - Accent2 4 4 2 2" xfId="7913" xr:uid="{00000000-0005-0000-0000-0000101F0000}"/>
    <cellStyle name="40% - Accent2 4 4 2 2 2" xfId="17504" xr:uid="{83969439-5041-4001-9569-098CF809B303}"/>
    <cellStyle name="40% - Accent2 4 4 2 3" xfId="13283" xr:uid="{642DFA1B-5888-4086-B3E0-E20D0434F974}"/>
    <cellStyle name="40% - Accent2 4 4 3" xfId="5768" xr:uid="{00000000-0005-0000-0000-0000AF160000}"/>
    <cellStyle name="40% - Accent2 4 4 3 2" xfId="15359" xr:uid="{4B85BE72-5C1E-40F6-BBFD-4E3197E6AA20}"/>
    <cellStyle name="40% - Accent2 4 4 4" xfId="11054" xr:uid="{57128F25-B998-4C47-AD71-A8DE5E116FB3}"/>
    <cellStyle name="40% - Accent2 4 5" xfId="1875" xr:uid="{00000000-0005-0000-0000-00007A070000}"/>
    <cellStyle name="40% - Accent2 4 5 2" xfId="4104" xr:uid="{00000000-0005-0000-0000-00002F100000}"/>
    <cellStyle name="40% - Accent2 4 5 2 2" xfId="8326" xr:uid="{00000000-0005-0000-0000-0000AD200000}"/>
    <cellStyle name="40% - Accent2 4 5 2 2 2" xfId="17917" xr:uid="{04B7A8BB-4976-4E7F-94AE-881FD3411607}"/>
    <cellStyle name="40% - Accent2 4 5 2 3" xfId="13696" xr:uid="{871B46A4-DBF4-4232-98C9-0E3BDE796DD7}"/>
    <cellStyle name="40% - Accent2 4 5 3" xfId="6181" xr:uid="{00000000-0005-0000-0000-00004C180000}"/>
    <cellStyle name="40% - Accent2 4 5 3 2" xfId="15772" xr:uid="{3E098D3C-7E77-4572-8068-10A8AEBE24A0}"/>
    <cellStyle name="40% - Accent2 4 5 4" xfId="11467" xr:uid="{DA95C1FC-E406-4DD9-8E32-6F20468C19F9}"/>
    <cellStyle name="40% - Accent2 4 6" xfId="2288" xr:uid="{00000000-0005-0000-0000-000017090000}"/>
    <cellStyle name="40% - Accent2 4 6 2" xfId="6594" xr:uid="{00000000-0005-0000-0000-0000E9190000}"/>
    <cellStyle name="40% - Accent2 4 6 2 2" xfId="16185" xr:uid="{59A74DD0-82F4-4E6C-A2AC-A5087400B9EA}"/>
    <cellStyle name="40% - Accent2 4 6 3" xfId="11880" xr:uid="{D7AC2A7D-EB63-4C21-A9BB-646CB234EC9B}"/>
    <cellStyle name="40% - Accent2 4 7" xfId="4528" xr:uid="{00000000-0005-0000-0000-0000D7110000}"/>
    <cellStyle name="40% - Accent2 4 7 2" xfId="14119" xr:uid="{A1AC3673-59D8-42D9-8D1D-E602F716E7BF}"/>
    <cellStyle name="40% - Accent2 4 8" xfId="8911" xr:uid="{00000000-0005-0000-0000-0000F6220000}"/>
    <cellStyle name="40% - Accent2 4 9" xfId="9662" xr:uid="{5F49FF5E-B904-4AF5-B582-6784E0E5135F}"/>
    <cellStyle name="40% - Accent2 5" xfId="587" xr:uid="{00000000-0005-0000-0000-000072020000}"/>
    <cellStyle name="40% - Accent2 5 2" xfId="2858" xr:uid="{00000000-0005-0000-0000-0000510B0000}"/>
    <cellStyle name="40% - Accent2 5 2 2" xfId="7080" xr:uid="{00000000-0005-0000-0000-0000CF1B0000}"/>
    <cellStyle name="40% - Accent2 5 2 2 2" xfId="16671" xr:uid="{A276CFE9-E45A-4DEF-92AF-82F70E4F54E4}"/>
    <cellStyle name="40% - Accent2 5 2 3" xfId="12450" xr:uid="{AB81A5F4-DAF5-4BB8-8DA9-D33B54F9ED56}"/>
    <cellStyle name="40% - Accent2 5 3" xfId="4935" xr:uid="{00000000-0005-0000-0000-00006E130000}"/>
    <cellStyle name="40% - Accent2 5 3 2" xfId="14526" xr:uid="{2EC57E3A-B45E-403B-A9CF-32ADAB2E7A30}"/>
    <cellStyle name="40% - Accent2 5 4" xfId="9144" xr:uid="{00000000-0005-0000-0000-0000DF230000}"/>
    <cellStyle name="40% - Accent2 5 5" xfId="10180" xr:uid="{0FFB341C-6F3D-4529-88A8-F433A72E005B}"/>
    <cellStyle name="40% - Accent2 6" xfId="1040" xr:uid="{00000000-0005-0000-0000-000037040000}"/>
    <cellStyle name="40% - Accent2 6 2" xfId="3271" xr:uid="{00000000-0005-0000-0000-0000EE0C0000}"/>
    <cellStyle name="40% - Accent2 6 2 2" xfId="7493" xr:uid="{00000000-0005-0000-0000-00006C1D0000}"/>
    <cellStyle name="40% - Accent2 6 2 2 2" xfId="17084" xr:uid="{415DAACD-6A7E-4C43-99DA-1830DF315969}"/>
    <cellStyle name="40% - Accent2 6 2 3" xfId="12863" xr:uid="{5D778EE9-D8A6-484B-98D2-17F85E6057DA}"/>
    <cellStyle name="40% - Accent2 6 3" xfId="5348" xr:uid="{00000000-0005-0000-0000-00000B150000}"/>
    <cellStyle name="40% - Accent2 6 3 2" xfId="14939" xr:uid="{CD133171-C429-4AC8-996C-0B4B3694CA53}"/>
    <cellStyle name="40% - Accent2 6 4" xfId="10633" xr:uid="{AE837739-A59F-4090-8F09-C5431FEC54B0}"/>
    <cellStyle name="40% - Accent2 7" xfId="1454" xr:uid="{00000000-0005-0000-0000-0000D5050000}"/>
    <cellStyle name="40% - Accent2 7 2" xfId="3684" xr:uid="{00000000-0005-0000-0000-00008B0E0000}"/>
    <cellStyle name="40% - Accent2 7 2 2" xfId="7906" xr:uid="{00000000-0005-0000-0000-0000091F0000}"/>
    <cellStyle name="40% - Accent2 7 2 2 2" xfId="17497" xr:uid="{50E9CC90-32A0-43F3-A020-B08E3438864C}"/>
    <cellStyle name="40% - Accent2 7 2 3" xfId="13276" xr:uid="{C3CFC1D5-757D-4042-A309-2969CAABCA7F}"/>
    <cellStyle name="40% - Accent2 7 3" xfId="5761" xr:uid="{00000000-0005-0000-0000-0000A8160000}"/>
    <cellStyle name="40% - Accent2 7 3 2" xfId="15352" xr:uid="{9A1218EA-4173-4728-BF4A-E66059877DA5}"/>
    <cellStyle name="40% - Accent2 7 4" xfId="11047" xr:uid="{D89C34F7-0EE5-4E3D-91D0-F23E07FEB710}"/>
    <cellStyle name="40% - Accent2 8" xfId="1868" xr:uid="{00000000-0005-0000-0000-000073070000}"/>
    <cellStyle name="40% - Accent2 8 2" xfId="4097" xr:uid="{00000000-0005-0000-0000-000028100000}"/>
    <cellStyle name="40% - Accent2 8 2 2" xfId="8319" xr:uid="{00000000-0005-0000-0000-0000A6200000}"/>
    <cellStyle name="40% - Accent2 8 2 2 2" xfId="17910" xr:uid="{C2B4DC8B-639E-4E29-B07E-F16673B755A4}"/>
    <cellStyle name="40% - Accent2 8 2 3" xfId="13689" xr:uid="{6E8B29B9-01E4-4B25-A447-8D1C503AAEA3}"/>
    <cellStyle name="40% - Accent2 8 3" xfId="6174" xr:uid="{00000000-0005-0000-0000-000045180000}"/>
    <cellStyle name="40% - Accent2 8 3 2" xfId="15765" xr:uid="{DD14B7D3-53A1-411B-A38E-F0DDC1023F17}"/>
    <cellStyle name="40% - Accent2 8 4" xfId="11460" xr:uid="{61CDE423-7CBE-4D1F-803E-9F41F20B3524}"/>
    <cellStyle name="40% - Accent2 9" xfId="2281" xr:uid="{00000000-0005-0000-0000-000010090000}"/>
    <cellStyle name="40% - Accent2 9 2" xfId="6587" xr:uid="{00000000-0005-0000-0000-0000E2190000}"/>
    <cellStyle name="40% - Accent2 9 2 2" xfId="16178" xr:uid="{5EF56B48-361E-49E1-A691-E11E804E58B0}"/>
    <cellStyle name="40% - Accent2 9 3" xfId="11873" xr:uid="{6C0C42F8-B198-446B-A0AB-3B727B2C8493}"/>
    <cellStyle name="40% - Accent3" xfId="9596" builtinId="39" customBuiltin="1"/>
    <cellStyle name="40% - Accent3 10" xfId="4529" xr:uid="{00000000-0005-0000-0000-0000D8110000}"/>
    <cellStyle name="40% - Accent3 10 2" xfId="14120" xr:uid="{AEFB629E-F851-4D8D-82D3-E5F0603A49DD}"/>
    <cellStyle name="40% - Accent3 11" xfId="8724" xr:uid="{00000000-0005-0000-0000-00003B220000}"/>
    <cellStyle name="40% - Accent3 2" xfId="57" xr:uid="{00000000-0005-0000-0000-000042000000}"/>
    <cellStyle name="40% - Accent3 2 10" xfId="8761" xr:uid="{00000000-0005-0000-0000-000060220000}"/>
    <cellStyle name="40% - Accent3 2 11" xfId="9663" xr:uid="{9AF9CA8F-35EC-4F7F-9247-ECE3C0A80D16}"/>
    <cellStyle name="40% - Accent3 2 2" xfId="58" xr:uid="{00000000-0005-0000-0000-000043000000}"/>
    <cellStyle name="40% - Accent3 2 2 10" xfId="9664" xr:uid="{41F39AA0-4E91-4A12-8C72-7FA8F428B244}"/>
    <cellStyle name="40% - Accent3 2 2 2" xfId="59" xr:uid="{00000000-0005-0000-0000-000044000000}"/>
    <cellStyle name="40% - Accent3 2 2 2 2" xfId="598" xr:uid="{00000000-0005-0000-0000-00007D020000}"/>
    <cellStyle name="40% - Accent3 2 2 2 2 2" xfId="2869" xr:uid="{00000000-0005-0000-0000-00005C0B0000}"/>
    <cellStyle name="40% - Accent3 2 2 2 2 2 2" xfId="7091" xr:uid="{00000000-0005-0000-0000-0000DA1B0000}"/>
    <cellStyle name="40% - Accent3 2 2 2 2 2 2 2" xfId="16682" xr:uid="{01F96144-EF87-4613-8ADA-1CC688E09B56}"/>
    <cellStyle name="40% - Accent3 2 2 2 2 2 3" xfId="12461" xr:uid="{7E31B51E-141B-4E7C-9DEB-BB60774DEEA3}"/>
    <cellStyle name="40% - Accent3 2 2 2 2 3" xfId="4946" xr:uid="{00000000-0005-0000-0000-000079130000}"/>
    <cellStyle name="40% - Accent3 2 2 2 2 3 2" xfId="14537" xr:uid="{5C326E5F-D2D2-4123-A938-572B2FB2AB1E}"/>
    <cellStyle name="40% - Accent3 2 2 2 2 4" xfId="9496" xr:uid="{00000000-0005-0000-0000-00003F250000}"/>
    <cellStyle name="40% - Accent3 2 2 2 2 5" xfId="10191" xr:uid="{D609AA05-2559-4440-8146-3A430F341061}"/>
    <cellStyle name="40% - Accent3 2 2 2 3" xfId="1051" xr:uid="{00000000-0005-0000-0000-000042040000}"/>
    <cellStyle name="40% - Accent3 2 2 2 3 2" xfId="3282" xr:uid="{00000000-0005-0000-0000-0000F90C0000}"/>
    <cellStyle name="40% - Accent3 2 2 2 3 2 2" xfId="7504" xr:uid="{00000000-0005-0000-0000-0000771D0000}"/>
    <cellStyle name="40% - Accent3 2 2 2 3 2 2 2" xfId="17095" xr:uid="{CF0EA289-8340-471E-9DAF-21F7827489E5}"/>
    <cellStyle name="40% - Accent3 2 2 2 3 2 3" xfId="12874" xr:uid="{041DD29D-205C-4949-8940-AE39D73F55D8}"/>
    <cellStyle name="40% - Accent3 2 2 2 3 3" xfId="5359" xr:uid="{00000000-0005-0000-0000-000016150000}"/>
    <cellStyle name="40% - Accent3 2 2 2 3 3 2" xfId="14950" xr:uid="{A551FAA8-ABDB-4183-B9E8-E11BD77FFE63}"/>
    <cellStyle name="40% - Accent3 2 2 2 3 4" xfId="10644" xr:uid="{322F730A-9BAA-4B6A-922A-0C03FB59CE4E}"/>
    <cellStyle name="40% - Accent3 2 2 2 4" xfId="1465" xr:uid="{00000000-0005-0000-0000-0000E0050000}"/>
    <cellStyle name="40% - Accent3 2 2 2 4 2" xfId="3695" xr:uid="{00000000-0005-0000-0000-0000960E0000}"/>
    <cellStyle name="40% - Accent3 2 2 2 4 2 2" xfId="7917" xr:uid="{00000000-0005-0000-0000-0000141F0000}"/>
    <cellStyle name="40% - Accent3 2 2 2 4 2 2 2" xfId="17508" xr:uid="{4FF5EE0C-07D6-4E7D-B163-F0BF297755AC}"/>
    <cellStyle name="40% - Accent3 2 2 2 4 2 3" xfId="13287" xr:uid="{D5455BEF-14FC-446F-A1A7-35104BB3D371}"/>
    <cellStyle name="40% - Accent3 2 2 2 4 3" xfId="5772" xr:uid="{00000000-0005-0000-0000-0000B3160000}"/>
    <cellStyle name="40% - Accent3 2 2 2 4 3 2" xfId="15363" xr:uid="{D036D8E9-26DA-438D-9C69-06D5EDDE1462}"/>
    <cellStyle name="40% - Accent3 2 2 2 4 4" xfId="11058" xr:uid="{F714F378-E0C5-4CDA-B0F5-A01EBBAB2B07}"/>
    <cellStyle name="40% - Accent3 2 2 2 5" xfId="1879" xr:uid="{00000000-0005-0000-0000-00007E070000}"/>
    <cellStyle name="40% - Accent3 2 2 2 5 2" xfId="4108" xr:uid="{00000000-0005-0000-0000-000033100000}"/>
    <cellStyle name="40% - Accent3 2 2 2 5 2 2" xfId="8330" xr:uid="{00000000-0005-0000-0000-0000B1200000}"/>
    <cellStyle name="40% - Accent3 2 2 2 5 2 2 2" xfId="17921" xr:uid="{B9732221-3ACB-4C28-A6AA-7F03002445FA}"/>
    <cellStyle name="40% - Accent3 2 2 2 5 2 3" xfId="13700" xr:uid="{99A1743A-A6B5-4E37-96F1-41EA0EDDFE99}"/>
    <cellStyle name="40% - Accent3 2 2 2 5 3" xfId="6185" xr:uid="{00000000-0005-0000-0000-000050180000}"/>
    <cellStyle name="40% - Accent3 2 2 2 5 3 2" xfId="15776" xr:uid="{1B41A02A-36E2-4F20-8B99-19C75EA3979B}"/>
    <cellStyle name="40% - Accent3 2 2 2 5 4" xfId="11471" xr:uid="{E511DF41-DDFA-4293-A238-FC53322211FA}"/>
    <cellStyle name="40% - Accent3 2 2 2 6" xfId="2292" xr:uid="{00000000-0005-0000-0000-00001B090000}"/>
    <cellStyle name="40% - Accent3 2 2 2 6 2" xfId="6598" xr:uid="{00000000-0005-0000-0000-0000ED190000}"/>
    <cellStyle name="40% - Accent3 2 2 2 6 2 2" xfId="16189" xr:uid="{5FEEBA51-9C15-41DF-B6CE-5B1957A05F74}"/>
    <cellStyle name="40% - Accent3 2 2 2 6 3" xfId="11884" xr:uid="{B287451C-84B2-4019-996B-22E2E5EB8886}"/>
    <cellStyle name="40% - Accent3 2 2 2 7" xfId="4532" xr:uid="{00000000-0005-0000-0000-0000DB110000}"/>
    <cellStyle name="40% - Accent3 2 2 2 7 2" xfId="14123" xr:uid="{9214A954-4753-4D7C-A747-A94E552C7683}"/>
    <cellStyle name="40% - Accent3 2 2 2 8" xfId="9071" xr:uid="{00000000-0005-0000-0000-000096230000}"/>
    <cellStyle name="40% - Accent3 2 2 2 9" xfId="9665" xr:uid="{FE383369-BA79-4200-8D22-76DF89C76D0C}"/>
    <cellStyle name="40% - Accent3 2 2 3" xfId="597" xr:uid="{00000000-0005-0000-0000-00007C020000}"/>
    <cellStyle name="40% - Accent3 2 2 3 2" xfId="2868" xr:uid="{00000000-0005-0000-0000-00005B0B0000}"/>
    <cellStyle name="40% - Accent3 2 2 3 2 2" xfId="7090" xr:uid="{00000000-0005-0000-0000-0000D91B0000}"/>
    <cellStyle name="40% - Accent3 2 2 3 2 2 2" xfId="16681" xr:uid="{223843D3-0AF0-42CB-8FC4-975ABDF7737A}"/>
    <cellStyle name="40% - Accent3 2 2 3 2 3" xfId="12460" xr:uid="{55F9A9BB-BD46-445E-A94E-560636963858}"/>
    <cellStyle name="40% - Accent3 2 2 3 3" xfId="4945" xr:uid="{00000000-0005-0000-0000-000078130000}"/>
    <cellStyle name="40% - Accent3 2 2 3 3 2" xfId="14536" xr:uid="{798E2287-A4CB-44CE-90A5-2B85B2E47EFE}"/>
    <cellStyle name="40% - Accent3 2 2 3 4" xfId="9289" xr:uid="{00000000-0005-0000-0000-000070240000}"/>
    <cellStyle name="40% - Accent3 2 2 3 5" xfId="10190" xr:uid="{62405C4E-7B7A-4D94-BB9E-B9AF4A6EF9F5}"/>
    <cellStyle name="40% - Accent3 2 2 4" xfId="1050" xr:uid="{00000000-0005-0000-0000-000041040000}"/>
    <cellStyle name="40% - Accent3 2 2 4 2" xfId="3281" xr:uid="{00000000-0005-0000-0000-0000F80C0000}"/>
    <cellStyle name="40% - Accent3 2 2 4 2 2" xfId="7503" xr:uid="{00000000-0005-0000-0000-0000761D0000}"/>
    <cellStyle name="40% - Accent3 2 2 4 2 2 2" xfId="17094" xr:uid="{518411A5-D80D-4E7F-9ED2-4F9D95BF141D}"/>
    <cellStyle name="40% - Accent3 2 2 4 2 3" xfId="12873" xr:uid="{2ADFA54E-34D4-41A1-8F8E-270AF5ED9850}"/>
    <cellStyle name="40% - Accent3 2 2 4 3" xfId="5358" xr:uid="{00000000-0005-0000-0000-000015150000}"/>
    <cellStyle name="40% - Accent3 2 2 4 3 2" xfId="14949" xr:uid="{101CA29E-F6DF-458C-95CD-A366254042EF}"/>
    <cellStyle name="40% - Accent3 2 2 4 4" xfId="10643" xr:uid="{0AA77830-0891-4BC5-9D70-45924D8B89C4}"/>
    <cellStyle name="40% - Accent3 2 2 5" xfId="1464" xr:uid="{00000000-0005-0000-0000-0000DF050000}"/>
    <cellStyle name="40% - Accent3 2 2 5 2" xfId="3694" xr:uid="{00000000-0005-0000-0000-0000950E0000}"/>
    <cellStyle name="40% - Accent3 2 2 5 2 2" xfId="7916" xr:uid="{00000000-0005-0000-0000-0000131F0000}"/>
    <cellStyle name="40% - Accent3 2 2 5 2 2 2" xfId="17507" xr:uid="{7AB19B8B-4EE8-498F-9EC1-FBAB4A8CEE2A}"/>
    <cellStyle name="40% - Accent3 2 2 5 2 3" xfId="13286" xr:uid="{9F38B1F9-F6A0-4A9B-B97E-2E2658241FB1}"/>
    <cellStyle name="40% - Accent3 2 2 5 3" xfId="5771" xr:uid="{00000000-0005-0000-0000-0000B2160000}"/>
    <cellStyle name="40% - Accent3 2 2 5 3 2" xfId="15362" xr:uid="{64683EB0-BB97-409D-B9CA-DA48A08583EA}"/>
    <cellStyle name="40% - Accent3 2 2 5 4" xfId="11057" xr:uid="{701463B0-98CF-43F4-A31B-5199C9FF52CA}"/>
    <cellStyle name="40% - Accent3 2 2 6" xfId="1878" xr:uid="{00000000-0005-0000-0000-00007D070000}"/>
    <cellStyle name="40% - Accent3 2 2 6 2" xfId="4107" xr:uid="{00000000-0005-0000-0000-000032100000}"/>
    <cellStyle name="40% - Accent3 2 2 6 2 2" xfId="8329" xr:uid="{00000000-0005-0000-0000-0000B0200000}"/>
    <cellStyle name="40% - Accent3 2 2 6 2 2 2" xfId="17920" xr:uid="{855873B8-A20E-4637-AEA6-4D0492A0EF42}"/>
    <cellStyle name="40% - Accent3 2 2 6 2 3" xfId="13699" xr:uid="{765B022F-F739-4B7A-8270-81D8F8D0A8C1}"/>
    <cellStyle name="40% - Accent3 2 2 6 3" xfId="6184" xr:uid="{00000000-0005-0000-0000-00004F180000}"/>
    <cellStyle name="40% - Accent3 2 2 6 3 2" xfId="15775" xr:uid="{96FD2054-D881-4FEC-B0CF-553F25FEF7D7}"/>
    <cellStyle name="40% - Accent3 2 2 6 4" xfId="11470" xr:uid="{35DDD8AE-210A-43D5-91E3-0C4F6355AA2A}"/>
    <cellStyle name="40% - Accent3 2 2 7" xfId="2291" xr:uid="{00000000-0005-0000-0000-00001A090000}"/>
    <cellStyle name="40% - Accent3 2 2 7 2" xfId="6597" xr:uid="{00000000-0005-0000-0000-0000EC190000}"/>
    <cellStyle name="40% - Accent3 2 2 7 2 2" xfId="16188" xr:uid="{1D03763D-C9D2-466B-993A-A0BDB14AD8DA}"/>
    <cellStyle name="40% - Accent3 2 2 7 3" xfId="11883" xr:uid="{94FB90D4-544E-4F91-8531-02AD3CCC4DC4}"/>
    <cellStyle name="40% - Accent3 2 2 8" xfId="4531" xr:uid="{00000000-0005-0000-0000-0000DA110000}"/>
    <cellStyle name="40% - Accent3 2 2 8 2" xfId="14122" xr:uid="{5A9ED96C-6A85-4DF2-B95C-5E40791274BC}"/>
    <cellStyle name="40% - Accent3 2 2 9" xfId="8864" xr:uid="{00000000-0005-0000-0000-0000C7220000}"/>
    <cellStyle name="40% - Accent3 2 3" xfId="60" xr:uid="{00000000-0005-0000-0000-000045000000}"/>
    <cellStyle name="40% - Accent3 2 3 2" xfId="599" xr:uid="{00000000-0005-0000-0000-00007E020000}"/>
    <cellStyle name="40% - Accent3 2 3 2 2" xfId="2870" xr:uid="{00000000-0005-0000-0000-00005D0B0000}"/>
    <cellStyle name="40% - Accent3 2 3 2 2 2" xfId="7092" xr:uid="{00000000-0005-0000-0000-0000DB1B0000}"/>
    <cellStyle name="40% - Accent3 2 3 2 2 2 2" xfId="16683" xr:uid="{5FC4A273-E0C1-4CF9-B704-480299F683EB}"/>
    <cellStyle name="40% - Accent3 2 3 2 2 3" xfId="12462" xr:uid="{B20FDF3E-927A-4639-BB1E-67E902A836F4}"/>
    <cellStyle name="40% - Accent3 2 3 2 3" xfId="4947" xr:uid="{00000000-0005-0000-0000-00007A130000}"/>
    <cellStyle name="40% - Accent3 2 3 2 3 2" xfId="14538" xr:uid="{42665CB7-BD2A-4EA9-92EB-A81C466C97A4}"/>
    <cellStyle name="40% - Accent3 2 3 2 4" xfId="9393" xr:uid="{00000000-0005-0000-0000-0000D8240000}"/>
    <cellStyle name="40% - Accent3 2 3 2 5" xfId="10192" xr:uid="{1DD8E648-153E-47B3-AA91-9E892AC559DF}"/>
    <cellStyle name="40% - Accent3 2 3 3" xfId="1052" xr:uid="{00000000-0005-0000-0000-000043040000}"/>
    <cellStyle name="40% - Accent3 2 3 3 2" xfId="3283" xr:uid="{00000000-0005-0000-0000-0000FA0C0000}"/>
    <cellStyle name="40% - Accent3 2 3 3 2 2" xfId="7505" xr:uid="{00000000-0005-0000-0000-0000781D0000}"/>
    <cellStyle name="40% - Accent3 2 3 3 2 2 2" xfId="17096" xr:uid="{ABBD0FF2-89A9-49F4-97D1-83B9436F5B9F}"/>
    <cellStyle name="40% - Accent3 2 3 3 2 3" xfId="12875" xr:uid="{3B512515-214F-42E4-A8F4-7E1BB182C473}"/>
    <cellStyle name="40% - Accent3 2 3 3 3" xfId="5360" xr:uid="{00000000-0005-0000-0000-000017150000}"/>
    <cellStyle name="40% - Accent3 2 3 3 3 2" xfId="14951" xr:uid="{05E5D873-BA9B-4268-B842-67E396A02687}"/>
    <cellStyle name="40% - Accent3 2 3 3 4" xfId="10645" xr:uid="{0F1560EB-05EB-47C0-92A4-5B60C7F8A13B}"/>
    <cellStyle name="40% - Accent3 2 3 4" xfId="1466" xr:uid="{00000000-0005-0000-0000-0000E1050000}"/>
    <cellStyle name="40% - Accent3 2 3 4 2" xfId="3696" xr:uid="{00000000-0005-0000-0000-0000970E0000}"/>
    <cellStyle name="40% - Accent3 2 3 4 2 2" xfId="7918" xr:uid="{00000000-0005-0000-0000-0000151F0000}"/>
    <cellStyle name="40% - Accent3 2 3 4 2 2 2" xfId="17509" xr:uid="{87CDA3B0-4352-4C5C-BB66-ECEA8106B062}"/>
    <cellStyle name="40% - Accent3 2 3 4 2 3" xfId="13288" xr:uid="{AFC81623-5C5E-4D5C-98FE-8A87B4B35816}"/>
    <cellStyle name="40% - Accent3 2 3 4 3" xfId="5773" xr:uid="{00000000-0005-0000-0000-0000B4160000}"/>
    <cellStyle name="40% - Accent3 2 3 4 3 2" xfId="15364" xr:uid="{60C3C8EA-331D-459D-9A28-F943B3F11170}"/>
    <cellStyle name="40% - Accent3 2 3 4 4" xfId="11059" xr:uid="{9C44335F-B60A-4ED0-8527-7FAAA840B099}"/>
    <cellStyle name="40% - Accent3 2 3 5" xfId="1880" xr:uid="{00000000-0005-0000-0000-00007F070000}"/>
    <cellStyle name="40% - Accent3 2 3 5 2" xfId="4109" xr:uid="{00000000-0005-0000-0000-000034100000}"/>
    <cellStyle name="40% - Accent3 2 3 5 2 2" xfId="8331" xr:uid="{00000000-0005-0000-0000-0000B2200000}"/>
    <cellStyle name="40% - Accent3 2 3 5 2 2 2" xfId="17922" xr:uid="{F325B4F4-7983-44B5-94ED-14D177BF530F}"/>
    <cellStyle name="40% - Accent3 2 3 5 2 3" xfId="13701" xr:uid="{98F931DD-CCA1-4455-B5A7-F7CD774D126F}"/>
    <cellStyle name="40% - Accent3 2 3 5 3" xfId="6186" xr:uid="{00000000-0005-0000-0000-000051180000}"/>
    <cellStyle name="40% - Accent3 2 3 5 3 2" xfId="15777" xr:uid="{0CD5B117-0AA3-4983-B6EF-EC9FC18B7B72}"/>
    <cellStyle name="40% - Accent3 2 3 5 4" xfId="11472" xr:uid="{947FB1EE-9813-47FB-A4F4-2970C96ADFA7}"/>
    <cellStyle name="40% - Accent3 2 3 6" xfId="2293" xr:uid="{00000000-0005-0000-0000-00001C090000}"/>
    <cellStyle name="40% - Accent3 2 3 6 2" xfId="6599" xr:uid="{00000000-0005-0000-0000-0000EE190000}"/>
    <cellStyle name="40% - Accent3 2 3 6 2 2" xfId="16190" xr:uid="{A8204855-58C5-4C66-B182-33583599EF43}"/>
    <cellStyle name="40% - Accent3 2 3 6 3" xfId="11885" xr:uid="{23104BCA-0772-465D-8CA2-16FF969D5273}"/>
    <cellStyle name="40% - Accent3 2 3 7" xfId="4533" xr:uid="{00000000-0005-0000-0000-0000DC110000}"/>
    <cellStyle name="40% - Accent3 2 3 7 2" xfId="14124" xr:uid="{2E527BC7-E79F-4C21-9D8C-9C221190CB29}"/>
    <cellStyle name="40% - Accent3 2 3 8" xfId="8968" xr:uid="{00000000-0005-0000-0000-00002F230000}"/>
    <cellStyle name="40% - Accent3 2 3 9" xfId="9666" xr:uid="{67B6CDD2-A9F3-4AAC-B43A-3E1B64FE2F11}"/>
    <cellStyle name="40% - Accent3 2 4" xfId="596" xr:uid="{00000000-0005-0000-0000-00007B020000}"/>
    <cellStyle name="40% - Accent3 2 4 2" xfId="2867" xr:uid="{00000000-0005-0000-0000-00005A0B0000}"/>
    <cellStyle name="40% - Accent3 2 4 2 2" xfId="7089" xr:uid="{00000000-0005-0000-0000-0000D81B0000}"/>
    <cellStyle name="40% - Accent3 2 4 2 2 2" xfId="16680" xr:uid="{A0DF59EE-3D5A-466C-B3CB-454463EC5438}"/>
    <cellStyle name="40% - Accent3 2 4 2 3" xfId="12459" xr:uid="{1F2BB170-636F-4151-948A-0AD43FD17F62}"/>
    <cellStyle name="40% - Accent3 2 4 3" xfId="4944" xr:uid="{00000000-0005-0000-0000-000077130000}"/>
    <cellStyle name="40% - Accent3 2 4 3 2" xfId="14535" xr:uid="{46EC4124-D9DD-47B6-8915-3AB42CE73686}"/>
    <cellStyle name="40% - Accent3 2 4 4" xfId="9185" xr:uid="{00000000-0005-0000-0000-000008240000}"/>
    <cellStyle name="40% - Accent3 2 4 5" xfId="10189" xr:uid="{2ACB73CF-917C-43CE-9F34-4B9FE5958460}"/>
    <cellStyle name="40% - Accent3 2 5" xfId="1049" xr:uid="{00000000-0005-0000-0000-000040040000}"/>
    <cellStyle name="40% - Accent3 2 5 2" xfId="3280" xr:uid="{00000000-0005-0000-0000-0000F70C0000}"/>
    <cellStyle name="40% - Accent3 2 5 2 2" xfId="7502" xr:uid="{00000000-0005-0000-0000-0000751D0000}"/>
    <cellStyle name="40% - Accent3 2 5 2 2 2" xfId="17093" xr:uid="{D8CA85EC-E903-414D-83FF-2A2DB536D484}"/>
    <cellStyle name="40% - Accent3 2 5 2 3" xfId="12872" xr:uid="{6FDB8229-CD1E-421F-AC21-7E748E6A6798}"/>
    <cellStyle name="40% - Accent3 2 5 3" xfId="5357" xr:uid="{00000000-0005-0000-0000-000014150000}"/>
    <cellStyle name="40% - Accent3 2 5 3 2" xfId="14948" xr:uid="{3EE4D448-B400-4FEC-A871-E59D081EC89C}"/>
    <cellStyle name="40% - Accent3 2 5 4" xfId="10642" xr:uid="{8C830E20-C1F4-4848-B809-987393597A04}"/>
    <cellStyle name="40% - Accent3 2 6" xfId="1463" xr:uid="{00000000-0005-0000-0000-0000DE050000}"/>
    <cellStyle name="40% - Accent3 2 6 2" xfId="3693" xr:uid="{00000000-0005-0000-0000-0000940E0000}"/>
    <cellStyle name="40% - Accent3 2 6 2 2" xfId="7915" xr:uid="{00000000-0005-0000-0000-0000121F0000}"/>
    <cellStyle name="40% - Accent3 2 6 2 2 2" xfId="17506" xr:uid="{CE81D81D-FBE2-4C53-BF9A-ABAFF3F8C154}"/>
    <cellStyle name="40% - Accent3 2 6 2 3" xfId="13285" xr:uid="{311E719C-554E-457B-96BA-6F5DD0E16E65}"/>
    <cellStyle name="40% - Accent3 2 6 3" xfId="5770" xr:uid="{00000000-0005-0000-0000-0000B1160000}"/>
    <cellStyle name="40% - Accent3 2 6 3 2" xfId="15361" xr:uid="{DF992299-B5E1-4F94-BA04-660ADCAC3B22}"/>
    <cellStyle name="40% - Accent3 2 6 4" xfId="11056" xr:uid="{CA615515-789B-46A3-9AB0-13C0B881FB6C}"/>
    <cellStyle name="40% - Accent3 2 7" xfId="1877" xr:uid="{00000000-0005-0000-0000-00007C070000}"/>
    <cellStyle name="40% - Accent3 2 7 2" xfId="4106" xr:uid="{00000000-0005-0000-0000-000031100000}"/>
    <cellStyle name="40% - Accent3 2 7 2 2" xfId="8328" xr:uid="{00000000-0005-0000-0000-0000AF200000}"/>
    <cellStyle name="40% - Accent3 2 7 2 2 2" xfId="17919" xr:uid="{2F7C4E69-D32D-4808-B17D-94BD763391C7}"/>
    <cellStyle name="40% - Accent3 2 7 2 3" xfId="13698" xr:uid="{872E466E-99D0-45BF-AE02-4540BD085CF8}"/>
    <cellStyle name="40% - Accent3 2 7 3" xfId="6183" xr:uid="{00000000-0005-0000-0000-00004E180000}"/>
    <cellStyle name="40% - Accent3 2 7 3 2" xfId="15774" xr:uid="{75C50569-2E48-4546-9310-104FED4ABB26}"/>
    <cellStyle name="40% - Accent3 2 7 4" xfId="11469" xr:uid="{F1AEE052-EEEC-47E0-BFEF-3C6F681CFBFB}"/>
    <cellStyle name="40% - Accent3 2 8" xfId="2290" xr:uid="{00000000-0005-0000-0000-000019090000}"/>
    <cellStyle name="40% - Accent3 2 8 2" xfId="6596" xr:uid="{00000000-0005-0000-0000-0000EB190000}"/>
    <cellStyle name="40% - Accent3 2 8 2 2" xfId="16187" xr:uid="{A3BC3ED9-7229-47F6-95C1-91C95DE7B2EB}"/>
    <cellStyle name="40% - Accent3 2 8 3" xfId="11882" xr:uid="{68215DC1-1BD6-440E-B5BF-1A05905006C7}"/>
    <cellStyle name="40% - Accent3 2 9" xfId="4530" xr:uid="{00000000-0005-0000-0000-0000D9110000}"/>
    <cellStyle name="40% - Accent3 2 9 2" xfId="14121" xr:uid="{D5AF9D4E-AF74-4315-A1FB-6E6D190D13FC}"/>
    <cellStyle name="40% - Accent3 3" xfId="61" xr:uid="{00000000-0005-0000-0000-000046000000}"/>
    <cellStyle name="40% - Accent3 3 10" xfId="9667" xr:uid="{86E8AB03-2BCF-4D2C-88C9-5549F846566B}"/>
    <cellStyle name="40% - Accent3 3 2" xfId="62" xr:uid="{00000000-0005-0000-0000-000047000000}"/>
    <cellStyle name="40% - Accent3 3 2 2" xfId="601" xr:uid="{00000000-0005-0000-0000-000080020000}"/>
    <cellStyle name="40% - Accent3 3 2 2 2" xfId="2872" xr:uid="{00000000-0005-0000-0000-00005F0B0000}"/>
    <cellStyle name="40% - Accent3 3 2 2 2 2" xfId="7094" xr:uid="{00000000-0005-0000-0000-0000DD1B0000}"/>
    <cellStyle name="40% - Accent3 3 2 2 2 2 2" xfId="16685" xr:uid="{3DEB157A-45C2-456B-9962-BA40F6C07253}"/>
    <cellStyle name="40% - Accent3 3 2 2 2 3" xfId="12464" xr:uid="{89B9EA7C-7754-415C-8E83-E617CA21690E}"/>
    <cellStyle name="40% - Accent3 3 2 2 3" xfId="4949" xr:uid="{00000000-0005-0000-0000-00007C130000}"/>
    <cellStyle name="40% - Accent3 3 2 2 3 2" xfId="14540" xr:uid="{DCDF673F-5F02-45DC-A825-DE090BAF7FF0}"/>
    <cellStyle name="40% - Accent3 3 2 2 4" xfId="9459" xr:uid="{00000000-0005-0000-0000-00001A250000}"/>
    <cellStyle name="40% - Accent3 3 2 2 5" xfId="10194" xr:uid="{FC3D993F-4F4E-4880-9290-F048517A2948}"/>
    <cellStyle name="40% - Accent3 3 2 3" xfId="1054" xr:uid="{00000000-0005-0000-0000-000045040000}"/>
    <cellStyle name="40% - Accent3 3 2 3 2" xfId="3285" xr:uid="{00000000-0005-0000-0000-0000FC0C0000}"/>
    <cellStyle name="40% - Accent3 3 2 3 2 2" xfId="7507" xr:uid="{00000000-0005-0000-0000-00007A1D0000}"/>
    <cellStyle name="40% - Accent3 3 2 3 2 2 2" xfId="17098" xr:uid="{AEC41D0D-8D92-4125-9FB5-16B69B4DE960}"/>
    <cellStyle name="40% - Accent3 3 2 3 2 3" xfId="12877" xr:uid="{A7E3ADD1-B358-4015-90DC-EC55CD124E1D}"/>
    <cellStyle name="40% - Accent3 3 2 3 3" xfId="5362" xr:uid="{00000000-0005-0000-0000-000019150000}"/>
    <cellStyle name="40% - Accent3 3 2 3 3 2" xfId="14953" xr:uid="{FE815F2E-76F7-4ECA-B767-711AF0C6B9FB}"/>
    <cellStyle name="40% - Accent3 3 2 3 4" xfId="10647" xr:uid="{B8BC97C4-880C-4782-BAE7-85A639C4C275}"/>
    <cellStyle name="40% - Accent3 3 2 4" xfId="1468" xr:uid="{00000000-0005-0000-0000-0000E3050000}"/>
    <cellStyle name="40% - Accent3 3 2 4 2" xfId="3698" xr:uid="{00000000-0005-0000-0000-0000990E0000}"/>
    <cellStyle name="40% - Accent3 3 2 4 2 2" xfId="7920" xr:uid="{00000000-0005-0000-0000-0000171F0000}"/>
    <cellStyle name="40% - Accent3 3 2 4 2 2 2" xfId="17511" xr:uid="{CF5F0A9C-2C7F-47F5-BD98-438F7A10ABC1}"/>
    <cellStyle name="40% - Accent3 3 2 4 2 3" xfId="13290" xr:uid="{BE1B789A-6017-47E7-8B8F-C5AF42E6286B}"/>
    <cellStyle name="40% - Accent3 3 2 4 3" xfId="5775" xr:uid="{00000000-0005-0000-0000-0000B6160000}"/>
    <cellStyle name="40% - Accent3 3 2 4 3 2" xfId="15366" xr:uid="{FFAB8C9D-7953-4DCE-B928-3277A464BE75}"/>
    <cellStyle name="40% - Accent3 3 2 4 4" xfId="11061" xr:uid="{255AD908-AEC0-45A1-858E-B91236A44416}"/>
    <cellStyle name="40% - Accent3 3 2 5" xfId="1882" xr:uid="{00000000-0005-0000-0000-000081070000}"/>
    <cellStyle name="40% - Accent3 3 2 5 2" xfId="4111" xr:uid="{00000000-0005-0000-0000-000036100000}"/>
    <cellStyle name="40% - Accent3 3 2 5 2 2" xfId="8333" xr:uid="{00000000-0005-0000-0000-0000B4200000}"/>
    <cellStyle name="40% - Accent3 3 2 5 2 2 2" xfId="17924" xr:uid="{E54CEC5C-15A6-4702-8324-1C50498195E2}"/>
    <cellStyle name="40% - Accent3 3 2 5 2 3" xfId="13703" xr:uid="{56B218EC-8CAD-422D-9104-C5E0AE8BFB5A}"/>
    <cellStyle name="40% - Accent3 3 2 5 3" xfId="6188" xr:uid="{00000000-0005-0000-0000-000053180000}"/>
    <cellStyle name="40% - Accent3 3 2 5 3 2" xfId="15779" xr:uid="{24AEA3D1-2246-44FE-B950-323CFAE72BCB}"/>
    <cellStyle name="40% - Accent3 3 2 5 4" xfId="11474" xr:uid="{84874209-3EFE-4A8B-B5A7-7FF146290762}"/>
    <cellStyle name="40% - Accent3 3 2 6" xfId="2295" xr:uid="{00000000-0005-0000-0000-00001E090000}"/>
    <cellStyle name="40% - Accent3 3 2 6 2" xfId="6601" xr:uid="{00000000-0005-0000-0000-0000F0190000}"/>
    <cellStyle name="40% - Accent3 3 2 6 2 2" xfId="16192" xr:uid="{AF0CEAEA-FC64-44BD-A586-5FD2D428F466}"/>
    <cellStyle name="40% - Accent3 3 2 6 3" xfId="11887" xr:uid="{382E4DDB-55D2-4748-BD98-3C3E305355BC}"/>
    <cellStyle name="40% - Accent3 3 2 7" xfId="4535" xr:uid="{00000000-0005-0000-0000-0000DE110000}"/>
    <cellStyle name="40% - Accent3 3 2 7 2" xfId="14126" xr:uid="{636BD2AF-4DD0-4935-A27C-DE25AB80EF3E}"/>
    <cellStyle name="40% - Accent3 3 2 8" xfId="9034" xr:uid="{00000000-0005-0000-0000-000071230000}"/>
    <cellStyle name="40% - Accent3 3 2 9" xfId="9668" xr:uid="{7D8866C4-C91D-4690-A18C-4D47A69DF7F6}"/>
    <cellStyle name="40% - Accent3 3 3" xfId="600" xr:uid="{00000000-0005-0000-0000-00007F020000}"/>
    <cellStyle name="40% - Accent3 3 3 2" xfId="2871" xr:uid="{00000000-0005-0000-0000-00005E0B0000}"/>
    <cellStyle name="40% - Accent3 3 3 2 2" xfId="7093" xr:uid="{00000000-0005-0000-0000-0000DC1B0000}"/>
    <cellStyle name="40% - Accent3 3 3 2 2 2" xfId="16684" xr:uid="{5D6333AE-C44D-4B14-AB78-30DC25690FE6}"/>
    <cellStyle name="40% - Accent3 3 3 2 3" xfId="12463" xr:uid="{83E88E30-97ED-41E8-A023-B2196FC094DB}"/>
    <cellStyle name="40% - Accent3 3 3 3" xfId="4948" xr:uid="{00000000-0005-0000-0000-00007B130000}"/>
    <cellStyle name="40% - Accent3 3 3 3 2" xfId="14539" xr:uid="{32B1449A-C66D-4BEF-953B-4C09EDEC3D6A}"/>
    <cellStyle name="40% - Accent3 3 3 4" xfId="9252" xr:uid="{00000000-0005-0000-0000-00004B240000}"/>
    <cellStyle name="40% - Accent3 3 3 5" xfId="10193" xr:uid="{740C04BD-4FFD-4D32-A744-FBB686E0D291}"/>
    <cellStyle name="40% - Accent3 3 4" xfId="1053" xr:uid="{00000000-0005-0000-0000-000044040000}"/>
    <cellStyle name="40% - Accent3 3 4 2" xfId="3284" xr:uid="{00000000-0005-0000-0000-0000FB0C0000}"/>
    <cellStyle name="40% - Accent3 3 4 2 2" xfId="7506" xr:uid="{00000000-0005-0000-0000-0000791D0000}"/>
    <cellStyle name="40% - Accent3 3 4 2 2 2" xfId="17097" xr:uid="{9E195EFB-7071-4CF0-9878-21C8B729627B}"/>
    <cellStyle name="40% - Accent3 3 4 2 3" xfId="12876" xr:uid="{7BA8EDA6-F533-48DF-8568-0C69ECF99043}"/>
    <cellStyle name="40% - Accent3 3 4 3" xfId="5361" xr:uid="{00000000-0005-0000-0000-000018150000}"/>
    <cellStyle name="40% - Accent3 3 4 3 2" xfId="14952" xr:uid="{5EACAC2B-0E88-4369-8830-ACA57AF36AC5}"/>
    <cellStyle name="40% - Accent3 3 4 4" xfId="10646" xr:uid="{630632A9-9173-4722-82CF-97AFDAB6ADF0}"/>
    <cellStyle name="40% - Accent3 3 5" xfId="1467" xr:uid="{00000000-0005-0000-0000-0000E2050000}"/>
    <cellStyle name="40% - Accent3 3 5 2" xfId="3697" xr:uid="{00000000-0005-0000-0000-0000980E0000}"/>
    <cellStyle name="40% - Accent3 3 5 2 2" xfId="7919" xr:uid="{00000000-0005-0000-0000-0000161F0000}"/>
    <cellStyle name="40% - Accent3 3 5 2 2 2" xfId="17510" xr:uid="{74BD3E02-1849-46C1-BA32-8CE99ECF7B9F}"/>
    <cellStyle name="40% - Accent3 3 5 2 3" xfId="13289" xr:uid="{EC9FB799-D66B-48BC-9035-7DACAB1C6C30}"/>
    <cellStyle name="40% - Accent3 3 5 3" xfId="5774" xr:uid="{00000000-0005-0000-0000-0000B5160000}"/>
    <cellStyle name="40% - Accent3 3 5 3 2" xfId="15365" xr:uid="{FCF9373A-62E2-4746-8283-7942858C771F}"/>
    <cellStyle name="40% - Accent3 3 5 4" xfId="11060" xr:uid="{A6239580-D278-41E3-A4EF-7551C4F4636A}"/>
    <cellStyle name="40% - Accent3 3 6" xfId="1881" xr:uid="{00000000-0005-0000-0000-000080070000}"/>
    <cellStyle name="40% - Accent3 3 6 2" xfId="4110" xr:uid="{00000000-0005-0000-0000-000035100000}"/>
    <cellStyle name="40% - Accent3 3 6 2 2" xfId="8332" xr:uid="{00000000-0005-0000-0000-0000B3200000}"/>
    <cellStyle name="40% - Accent3 3 6 2 2 2" xfId="17923" xr:uid="{1CE4CA06-8EFC-4E2E-BAC3-967450C7C217}"/>
    <cellStyle name="40% - Accent3 3 6 2 3" xfId="13702" xr:uid="{FF132C2D-A6DA-4AAA-A6E3-651A1CE1DEB5}"/>
    <cellStyle name="40% - Accent3 3 6 3" xfId="6187" xr:uid="{00000000-0005-0000-0000-000052180000}"/>
    <cellStyle name="40% - Accent3 3 6 3 2" xfId="15778" xr:uid="{7975707B-1E5E-4071-821F-06B9C29DDDC9}"/>
    <cellStyle name="40% - Accent3 3 6 4" xfId="11473" xr:uid="{F45689BD-FD42-48C4-834D-11A9C911CBD2}"/>
    <cellStyle name="40% - Accent3 3 7" xfId="2294" xr:uid="{00000000-0005-0000-0000-00001D090000}"/>
    <cellStyle name="40% - Accent3 3 7 2" xfId="6600" xr:uid="{00000000-0005-0000-0000-0000EF190000}"/>
    <cellStyle name="40% - Accent3 3 7 2 2" xfId="16191" xr:uid="{C19F091D-CB47-4BD4-B9F6-73B3420DB950}"/>
    <cellStyle name="40% - Accent3 3 7 3" xfId="11886" xr:uid="{3DC690DD-7BEC-4523-AB72-C2E6308B3518}"/>
    <cellStyle name="40% - Accent3 3 8" xfId="4534" xr:uid="{00000000-0005-0000-0000-0000DD110000}"/>
    <cellStyle name="40% - Accent3 3 8 2" xfId="14125" xr:uid="{517DC21F-E6CA-4EFB-B3DB-01DFAA018868}"/>
    <cellStyle name="40% - Accent3 3 9" xfId="8827" xr:uid="{00000000-0005-0000-0000-0000A2220000}"/>
    <cellStyle name="40% - Accent3 4" xfId="63" xr:uid="{00000000-0005-0000-0000-000048000000}"/>
    <cellStyle name="40% - Accent3 4 2" xfId="602" xr:uid="{00000000-0005-0000-0000-000081020000}"/>
    <cellStyle name="40% - Accent3 4 2 2" xfId="2873" xr:uid="{00000000-0005-0000-0000-0000600B0000}"/>
    <cellStyle name="40% - Accent3 4 2 2 2" xfId="7095" xr:uid="{00000000-0005-0000-0000-0000DE1B0000}"/>
    <cellStyle name="40% - Accent3 4 2 2 2 2" xfId="16686" xr:uid="{88374138-3DD8-4431-9F59-EA2AE45F4030}"/>
    <cellStyle name="40% - Accent3 4 2 2 3" xfId="12465" xr:uid="{89B786F6-9243-44F5-91F6-C739749436F2}"/>
    <cellStyle name="40% - Accent3 4 2 3" xfId="4950" xr:uid="{00000000-0005-0000-0000-00007D130000}"/>
    <cellStyle name="40% - Accent3 4 2 3 2" xfId="14541" xr:uid="{BB623958-23A9-483B-B374-29EA64D280C7}"/>
    <cellStyle name="40% - Accent3 4 2 4" xfId="9338" xr:uid="{00000000-0005-0000-0000-0000A1240000}"/>
    <cellStyle name="40% - Accent3 4 2 5" xfId="10195" xr:uid="{E01B6EC3-B578-4576-A130-C7EDBB798585}"/>
    <cellStyle name="40% - Accent3 4 3" xfId="1055" xr:uid="{00000000-0005-0000-0000-000046040000}"/>
    <cellStyle name="40% - Accent3 4 3 2" xfId="3286" xr:uid="{00000000-0005-0000-0000-0000FD0C0000}"/>
    <cellStyle name="40% - Accent3 4 3 2 2" xfId="7508" xr:uid="{00000000-0005-0000-0000-00007B1D0000}"/>
    <cellStyle name="40% - Accent3 4 3 2 2 2" xfId="17099" xr:uid="{9242C6FD-FDCB-4603-A22B-37EDB16ED16C}"/>
    <cellStyle name="40% - Accent3 4 3 2 3" xfId="12878" xr:uid="{FC8F9ADF-ED19-46C8-8E20-A442F78F8960}"/>
    <cellStyle name="40% - Accent3 4 3 3" xfId="5363" xr:uid="{00000000-0005-0000-0000-00001A150000}"/>
    <cellStyle name="40% - Accent3 4 3 3 2" xfId="14954" xr:uid="{E746593C-8991-4E5B-87AA-CCC65A14E6C7}"/>
    <cellStyle name="40% - Accent3 4 3 4" xfId="10648" xr:uid="{DCF99D95-AEB0-499F-8EAF-D9029E50BBAF}"/>
    <cellStyle name="40% - Accent3 4 4" xfId="1469" xr:uid="{00000000-0005-0000-0000-0000E4050000}"/>
    <cellStyle name="40% - Accent3 4 4 2" xfId="3699" xr:uid="{00000000-0005-0000-0000-00009A0E0000}"/>
    <cellStyle name="40% - Accent3 4 4 2 2" xfId="7921" xr:uid="{00000000-0005-0000-0000-0000181F0000}"/>
    <cellStyle name="40% - Accent3 4 4 2 2 2" xfId="17512" xr:uid="{193F3375-CA9A-4176-9EEB-0C84658E2169}"/>
    <cellStyle name="40% - Accent3 4 4 2 3" xfId="13291" xr:uid="{8ED8C793-6117-4225-BB90-9AC5C4DEF560}"/>
    <cellStyle name="40% - Accent3 4 4 3" xfId="5776" xr:uid="{00000000-0005-0000-0000-0000B7160000}"/>
    <cellStyle name="40% - Accent3 4 4 3 2" xfId="15367" xr:uid="{893826A2-AC15-4114-B4B7-4987590856C5}"/>
    <cellStyle name="40% - Accent3 4 4 4" xfId="11062" xr:uid="{AC9FE946-BF8B-4319-8BE0-B9C6927A2C2B}"/>
    <cellStyle name="40% - Accent3 4 5" xfId="1883" xr:uid="{00000000-0005-0000-0000-000082070000}"/>
    <cellStyle name="40% - Accent3 4 5 2" xfId="4112" xr:uid="{00000000-0005-0000-0000-000037100000}"/>
    <cellStyle name="40% - Accent3 4 5 2 2" xfId="8334" xr:uid="{00000000-0005-0000-0000-0000B5200000}"/>
    <cellStyle name="40% - Accent3 4 5 2 2 2" xfId="17925" xr:uid="{05EB7415-A32D-4F61-B04F-4736150E35F8}"/>
    <cellStyle name="40% - Accent3 4 5 2 3" xfId="13704" xr:uid="{FB79D893-8460-42DC-962F-38FEAF5004AB}"/>
    <cellStyle name="40% - Accent3 4 5 3" xfId="6189" xr:uid="{00000000-0005-0000-0000-000054180000}"/>
    <cellStyle name="40% - Accent3 4 5 3 2" xfId="15780" xr:uid="{721F1F57-CD69-460D-B709-D5E1E86D5597}"/>
    <cellStyle name="40% - Accent3 4 5 4" xfId="11475" xr:uid="{55FE9439-1B48-445C-A293-60ED915B4815}"/>
    <cellStyle name="40% - Accent3 4 6" xfId="2296" xr:uid="{00000000-0005-0000-0000-00001F090000}"/>
    <cellStyle name="40% - Accent3 4 6 2" xfId="6602" xr:uid="{00000000-0005-0000-0000-0000F1190000}"/>
    <cellStyle name="40% - Accent3 4 6 2 2" xfId="16193" xr:uid="{DB989350-3FD0-423E-A3AA-5C829A4CE408}"/>
    <cellStyle name="40% - Accent3 4 6 3" xfId="11888" xr:uid="{012475A5-1951-48C7-8C54-5A5D6A4BC7D5}"/>
    <cellStyle name="40% - Accent3 4 7" xfId="4536" xr:uid="{00000000-0005-0000-0000-0000DF110000}"/>
    <cellStyle name="40% - Accent3 4 7 2" xfId="14127" xr:uid="{246D8AC8-37B6-47C6-B994-B56E18F3D6F3}"/>
    <cellStyle name="40% - Accent3 4 8" xfId="8913" xr:uid="{00000000-0005-0000-0000-0000F8220000}"/>
    <cellStyle name="40% - Accent3 4 9" xfId="9669" xr:uid="{C6A5E0AB-4E2B-4629-92F5-1D0FE349C79D}"/>
    <cellStyle name="40% - Accent3 5" xfId="595" xr:uid="{00000000-0005-0000-0000-00007A020000}"/>
    <cellStyle name="40% - Accent3 5 2" xfId="2866" xr:uid="{00000000-0005-0000-0000-0000590B0000}"/>
    <cellStyle name="40% - Accent3 5 2 2" xfId="7088" xr:uid="{00000000-0005-0000-0000-0000D71B0000}"/>
    <cellStyle name="40% - Accent3 5 2 2 2" xfId="16679" xr:uid="{F2800591-88C9-4D5D-83DD-79894C7B09BF}"/>
    <cellStyle name="40% - Accent3 5 2 3" xfId="12458" xr:uid="{7D700322-0020-4E56-B0AB-3D44165AE40F}"/>
    <cellStyle name="40% - Accent3 5 3" xfId="4943" xr:uid="{00000000-0005-0000-0000-000076130000}"/>
    <cellStyle name="40% - Accent3 5 3 2" xfId="14534" xr:uid="{746EEDA5-54A9-461F-A432-84326E3F5DE7}"/>
    <cellStyle name="40% - Accent3 5 4" xfId="9146" xr:uid="{00000000-0005-0000-0000-0000E1230000}"/>
    <cellStyle name="40% - Accent3 5 5" xfId="10188" xr:uid="{81497870-E4BE-41FE-90F6-FA7B30FF3C95}"/>
    <cellStyle name="40% - Accent3 6" xfId="1048" xr:uid="{00000000-0005-0000-0000-00003F040000}"/>
    <cellStyle name="40% - Accent3 6 2" xfId="3279" xr:uid="{00000000-0005-0000-0000-0000F60C0000}"/>
    <cellStyle name="40% - Accent3 6 2 2" xfId="7501" xr:uid="{00000000-0005-0000-0000-0000741D0000}"/>
    <cellStyle name="40% - Accent3 6 2 2 2" xfId="17092" xr:uid="{EE88504F-6085-4C2C-BEFB-5E2FDF62569F}"/>
    <cellStyle name="40% - Accent3 6 2 3" xfId="12871" xr:uid="{62876AD3-67E3-4109-BA7D-1671076C3D68}"/>
    <cellStyle name="40% - Accent3 6 3" xfId="5356" xr:uid="{00000000-0005-0000-0000-000013150000}"/>
    <cellStyle name="40% - Accent3 6 3 2" xfId="14947" xr:uid="{A867996A-8467-49E2-AE86-CF0CAC47807C}"/>
    <cellStyle name="40% - Accent3 6 4" xfId="10641" xr:uid="{7C382F0C-EC87-44A3-8B07-720F45491CD5}"/>
    <cellStyle name="40% - Accent3 7" xfId="1462" xr:uid="{00000000-0005-0000-0000-0000DD050000}"/>
    <cellStyle name="40% - Accent3 7 2" xfId="3692" xr:uid="{00000000-0005-0000-0000-0000930E0000}"/>
    <cellStyle name="40% - Accent3 7 2 2" xfId="7914" xr:uid="{00000000-0005-0000-0000-0000111F0000}"/>
    <cellStyle name="40% - Accent3 7 2 2 2" xfId="17505" xr:uid="{DCC63948-11D8-479E-989C-4F2771130EDC}"/>
    <cellStyle name="40% - Accent3 7 2 3" xfId="13284" xr:uid="{89C3D1F5-ED3D-4745-BC61-D4E464C405EA}"/>
    <cellStyle name="40% - Accent3 7 3" xfId="5769" xr:uid="{00000000-0005-0000-0000-0000B0160000}"/>
    <cellStyle name="40% - Accent3 7 3 2" xfId="15360" xr:uid="{629E463F-F979-4B99-8326-53423EE63222}"/>
    <cellStyle name="40% - Accent3 7 4" xfId="11055" xr:uid="{039B81BE-5DC2-4218-9EF7-57418B7BD83A}"/>
    <cellStyle name="40% - Accent3 8" xfId="1876" xr:uid="{00000000-0005-0000-0000-00007B070000}"/>
    <cellStyle name="40% - Accent3 8 2" xfId="4105" xr:uid="{00000000-0005-0000-0000-000030100000}"/>
    <cellStyle name="40% - Accent3 8 2 2" xfId="8327" xr:uid="{00000000-0005-0000-0000-0000AE200000}"/>
    <cellStyle name="40% - Accent3 8 2 2 2" xfId="17918" xr:uid="{A160A7AD-EB9A-4AC3-8924-3456BF391EC6}"/>
    <cellStyle name="40% - Accent3 8 2 3" xfId="13697" xr:uid="{A4C99D4C-1E85-4B7C-9E00-25DDE66BE6AF}"/>
    <cellStyle name="40% - Accent3 8 3" xfId="6182" xr:uid="{00000000-0005-0000-0000-00004D180000}"/>
    <cellStyle name="40% - Accent3 8 3 2" xfId="15773" xr:uid="{B3B86C96-16FE-49AA-A6B3-00C6D75C468F}"/>
    <cellStyle name="40% - Accent3 8 4" xfId="11468" xr:uid="{161E9B78-4C47-40E7-AD92-F99701BC7A55}"/>
    <cellStyle name="40% - Accent3 9" xfId="2289" xr:uid="{00000000-0005-0000-0000-000018090000}"/>
    <cellStyle name="40% - Accent3 9 2" xfId="6595" xr:uid="{00000000-0005-0000-0000-0000EA190000}"/>
    <cellStyle name="40% - Accent3 9 2 2" xfId="16186" xr:uid="{41BA6E16-4C44-4398-8BAB-62300ED0A4C3}"/>
    <cellStyle name="40% - Accent3 9 3" xfId="11881" xr:uid="{E0283C03-AC34-4495-BE80-D530253A8C52}"/>
    <cellStyle name="40% - Accent4" xfId="9599" builtinId="43" customBuiltin="1"/>
    <cellStyle name="40% - Accent4 10" xfId="4537" xr:uid="{00000000-0005-0000-0000-0000E0110000}"/>
    <cellStyle name="40% - Accent4 10 2" xfId="14128" xr:uid="{0C7A195F-DADF-427D-AD02-928078529A98}"/>
    <cellStyle name="40% - Accent4 11" xfId="8726" xr:uid="{00000000-0005-0000-0000-00003D220000}"/>
    <cellStyle name="40% - Accent4 2" xfId="64" xr:uid="{00000000-0005-0000-0000-00004A000000}"/>
    <cellStyle name="40% - Accent4 2 10" xfId="8762" xr:uid="{00000000-0005-0000-0000-000061220000}"/>
    <cellStyle name="40% - Accent4 2 11" xfId="9670" xr:uid="{AE0A38DC-8E84-45CC-B1A7-B7CF0061D81E}"/>
    <cellStyle name="40% - Accent4 2 2" xfId="65" xr:uid="{00000000-0005-0000-0000-00004B000000}"/>
    <cellStyle name="40% - Accent4 2 2 10" xfId="9671" xr:uid="{D054673D-0415-4824-B569-03AD12BDD5D2}"/>
    <cellStyle name="40% - Accent4 2 2 2" xfId="66" xr:uid="{00000000-0005-0000-0000-00004C000000}"/>
    <cellStyle name="40% - Accent4 2 2 2 2" xfId="606" xr:uid="{00000000-0005-0000-0000-000085020000}"/>
    <cellStyle name="40% - Accent4 2 2 2 2 2" xfId="2877" xr:uid="{00000000-0005-0000-0000-0000640B0000}"/>
    <cellStyle name="40% - Accent4 2 2 2 2 2 2" xfId="7099" xr:uid="{00000000-0005-0000-0000-0000E21B0000}"/>
    <cellStyle name="40% - Accent4 2 2 2 2 2 2 2" xfId="16690" xr:uid="{DB1DAB63-92C0-42BC-A982-BF87F2991B82}"/>
    <cellStyle name="40% - Accent4 2 2 2 2 2 3" xfId="12469" xr:uid="{02BDDD56-0B2F-4ACD-986C-79E59174F154}"/>
    <cellStyle name="40% - Accent4 2 2 2 2 3" xfId="4954" xr:uid="{00000000-0005-0000-0000-000081130000}"/>
    <cellStyle name="40% - Accent4 2 2 2 2 3 2" xfId="14545" xr:uid="{F0025FEA-8B7D-47DE-9610-D926E84D6323}"/>
    <cellStyle name="40% - Accent4 2 2 2 2 4" xfId="9497" xr:uid="{00000000-0005-0000-0000-000040250000}"/>
    <cellStyle name="40% - Accent4 2 2 2 2 5" xfId="10199" xr:uid="{C1DC51DB-FAD0-4B55-9072-B9AB41CE884E}"/>
    <cellStyle name="40% - Accent4 2 2 2 3" xfId="1059" xr:uid="{00000000-0005-0000-0000-00004A040000}"/>
    <cellStyle name="40% - Accent4 2 2 2 3 2" xfId="3290" xr:uid="{00000000-0005-0000-0000-0000010D0000}"/>
    <cellStyle name="40% - Accent4 2 2 2 3 2 2" xfId="7512" xr:uid="{00000000-0005-0000-0000-00007F1D0000}"/>
    <cellStyle name="40% - Accent4 2 2 2 3 2 2 2" xfId="17103" xr:uid="{C40A6729-7426-4229-9777-646F0916A413}"/>
    <cellStyle name="40% - Accent4 2 2 2 3 2 3" xfId="12882" xr:uid="{2D3B956D-F271-4F7D-A683-5559D6619875}"/>
    <cellStyle name="40% - Accent4 2 2 2 3 3" xfId="5367" xr:uid="{00000000-0005-0000-0000-00001E150000}"/>
    <cellStyle name="40% - Accent4 2 2 2 3 3 2" xfId="14958" xr:uid="{053C32A4-8B44-4658-9722-279FCB870E4F}"/>
    <cellStyle name="40% - Accent4 2 2 2 3 4" xfId="10652" xr:uid="{D35CCCB4-015B-4BC9-A0A8-E11BBEE9541A}"/>
    <cellStyle name="40% - Accent4 2 2 2 4" xfId="1473" xr:uid="{00000000-0005-0000-0000-0000E8050000}"/>
    <cellStyle name="40% - Accent4 2 2 2 4 2" xfId="3703" xr:uid="{00000000-0005-0000-0000-00009E0E0000}"/>
    <cellStyle name="40% - Accent4 2 2 2 4 2 2" xfId="7925" xr:uid="{00000000-0005-0000-0000-00001C1F0000}"/>
    <cellStyle name="40% - Accent4 2 2 2 4 2 2 2" xfId="17516" xr:uid="{00EAF3E3-C170-4EEB-B984-C826827B2E0C}"/>
    <cellStyle name="40% - Accent4 2 2 2 4 2 3" xfId="13295" xr:uid="{FDB69A7F-2059-4F6A-928C-48AAE5386BFD}"/>
    <cellStyle name="40% - Accent4 2 2 2 4 3" xfId="5780" xr:uid="{00000000-0005-0000-0000-0000BB160000}"/>
    <cellStyle name="40% - Accent4 2 2 2 4 3 2" xfId="15371" xr:uid="{8B113D7D-E8F9-4D29-80D9-3017AF2979CB}"/>
    <cellStyle name="40% - Accent4 2 2 2 4 4" xfId="11066" xr:uid="{8CD1A29A-EBAE-49D3-9CB2-FEB6E896E195}"/>
    <cellStyle name="40% - Accent4 2 2 2 5" xfId="1887" xr:uid="{00000000-0005-0000-0000-000086070000}"/>
    <cellStyle name="40% - Accent4 2 2 2 5 2" xfId="4116" xr:uid="{00000000-0005-0000-0000-00003B100000}"/>
    <cellStyle name="40% - Accent4 2 2 2 5 2 2" xfId="8338" xr:uid="{00000000-0005-0000-0000-0000B9200000}"/>
    <cellStyle name="40% - Accent4 2 2 2 5 2 2 2" xfId="17929" xr:uid="{BE4E7A3E-2D4A-4B4A-BC7D-31FB5B0E64DB}"/>
    <cellStyle name="40% - Accent4 2 2 2 5 2 3" xfId="13708" xr:uid="{FAC72FBD-5243-4776-99A5-183E36FFBF05}"/>
    <cellStyle name="40% - Accent4 2 2 2 5 3" xfId="6193" xr:uid="{00000000-0005-0000-0000-000058180000}"/>
    <cellStyle name="40% - Accent4 2 2 2 5 3 2" xfId="15784" xr:uid="{889DEADD-5328-467E-88B6-8A8026F4F1AC}"/>
    <cellStyle name="40% - Accent4 2 2 2 5 4" xfId="11479" xr:uid="{8E0337E1-A4DA-4BCA-8556-6E426D3776D8}"/>
    <cellStyle name="40% - Accent4 2 2 2 6" xfId="2300" xr:uid="{00000000-0005-0000-0000-000023090000}"/>
    <cellStyle name="40% - Accent4 2 2 2 6 2" xfId="6606" xr:uid="{00000000-0005-0000-0000-0000F5190000}"/>
    <cellStyle name="40% - Accent4 2 2 2 6 2 2" xfId="16197" xr:uid="{3D8B0614-8D44-4835-A996-7D1F0DCA8964}"/>
    <cellStyle name="40% - Accent4 2 2 2 6 3" xfId="11892" xr:uid="{6979A94D-F7CD-438B-BF74-CAB999CE2183}"/>
    <cellStyle name="40% - Accent4 2 2 2 7" xfId="4540" xr:uid="{00000000-0005-0000-0000-0000E3110000}"/>
    <cellStyle name="40% - Accent4 2 2 2 7 2" xfId="14131" xr:uid="{095E7924-4295-4E61-8C62-9B37F937EE75}"/>
    <cellStyle name="40% - Accent4 2 2 2 8" xfId="9072" xr:uid="{00000000-0005-0000-0000-000097230000}"/>
    <cellStyle name="40% - Accent4 2 2 2 9" xfId="9672" xr:uid="{2E6381E7-3B7C-46A8-976B-5920E6CB956B}"/>
    <cellStyle name="40% - Accent4 2 2 3" xfId="605" xr:uid="{00000000-0005-0000-0000-000084020000}"/>
    <cellStyle name="40% - Accent4 2 2 3 2" xfId="2876" xr:uid="{00000000-0005-0000-0000-0000630B0000}"/>
    <cellStyle name="40% - Accent4 2 2 3 2 2" xfId="7098" xr:uid="{00000000-0005-0000-0000-0000E11B0000}"/>
    <cellStyle name="40% - Accent4 2 2 3 2 2 2" xfId="16689" xr:uid="{A2DF4A1E-8CD6-4F38-893F-754606508329}"/>
    <cellStyle name="40% - Accent4 2 2 3 2 3" xfId="12468" xr:uid="{D0169CE6-DED3-4ADE-B3A0-3D2D74146018}"/>
    <cellStyle name="40% - Accent4 2 2 3 3" xfId="4953" xr:uid="{00000000-0005-0000-0000-000080130000}"/>
    <cellStyle name="40% - Accent4 2 2 3 3 2" xfId="14544" xr:uid="{20296CD2-D2CD-4FAF-8D33-AAADF8B0A687}"/>
    <cellStyle name="40% - Accent4 2 2 3 4" xfId="9290" xr:uid="{00000000-0005-0000-0000-000071240000}"/>
    <cellStyle name="40% - Accent4 2 2 3 5" xfId="10198" xr:uid="{D1AD3087-348E-42EF-A035-DB1812AD9789}"/>
    <cellStyle name="40% - Accent4 2 2 4" xfId="1058" xr:uid="{00000000-0005-0000-0000-000049040000}"/>
    <cellStyle name="40% - Accent4 2 2 4 2" xfId="3289" xr:uid="{00000000-0005-0000-0000-0000000D0000}"/>
    <cellStyle name="40% - Accent4 2 2 4 2 2" xfId="7511" xr:uid="{00000000-0005-0000-0000-00007E1D0000}"/>
    <cellStyle name="40% - Accent4 2 2 4 2 2 2" xfId="17102" xr:uid="{459AC245-FC80-4C82-930A-20EEDA0C624B}"/>
    <cellStyle name="40% - Accent4 2 2 4 2 3" xfId="12881" xr:uid="{196A4B75-CAA7-4831-832E-78B59DAAD315}"/>
    <cellStyle name="40% - Accent4 2 2 4 3" xfId="5366" xr:uid="{00000000-0005-0000-0000-00001D150000}"/>
    <cellStyle name="40% - Accent4 2 2 4 3 2" xfId="14957" xr:uid="{D6CE1EA7-E596-404F-B70E-DF736BBA8915}"/>
    <cellStyle name="40% - Accent4 2 2 4 4" xfId="10651" xr:uid="{33E8C525-D2ED-4D69-809F-4D3B6213E6F3}"/>
    <cellStyle name="40% - Accent4 2 2 5" xfId="1472" xr:uid="{00000000-0005-0000-0000-0000E7050000}"/>
    <cellStyle name="40% - Accent4 2 2 5 2" xfId="3702" xr:uid="{00000000-0005-0000-0000-00009D0E0000}"/>
    <cellStyle name="40% - Accent4 2 2 5 2 2" xfId="7924" xr:uid="{00000000-0005-0000-0000-00001B1F0000}"/>
    <cellStyle name="40% - Accent4 2 2 5 2 2 2" xfId="17515" xr:uid="{7860405B-84E7-4085-90FB-2626658BE908}"/>
    <cellStyle name="40% - Accent4 2 2 5 2 3" xfId="13294" xr:uid="{498D7AF2-4BD7-49E8-9F43-9A15E5305AD4}"/>
    <cellStyle name="40% - Accent4 2 2 5 3" xfId="5779" xr:uid="{00000000-0005-0000-0000-0000BA160000}"/>
    <cellStyle name="40% - Accent4 2 2 5 3 2" xfId="15370" xr:uid="{B012E08C-0E5E-465B-A33A-D5B40E367C15}"/>
    <cellStyle name="40% - Accent4 2 2 5 4" xfId="11065" xr:uid="{CE8E80FC-5F99-44CB-B9A5-5606C0849861}"/>
    <cellStyle name="40% - Accent4 2 2 6" xfId="1886" xr:uid="{00000000-0005-0000-0000-000085070000}"/>
    <cellStyle name="40% - Accent4 2 2 6 2" xfId="4115" xr:uid="{00000000-0005-0000-0000-00003A100000}"/>
    <cellStyle name="40% - Accent4 2 2 6 2 2" xfId="8337" xr:uid="{00000000-0005-0000-0000-0000B8200000}"/>
    <cellStyle name="40% - Accent4 2 2 6 2 2 2" xfId="17928" xr:uid="{9744AE85-D034-4C8E-8427-959B0689E61C}"/>
    <cellStyle name="40% - Accent4 2 2 6 2 3" xfId="13707" xr:uid="{177F7E1B-D8C2-414E-AF7A-EC3F05FCAB14}"/>
    <cellStyle name="40% - Accent4 2 2 6 3" xfId="6192" xr:uid="{00000000-0005-0000-0000-000057180000}"/>
    <cellStyle name="40% - Accent4 2 2 6 3 2" xfId="15783" xr:uid="{5ED53559-BFC4-4140-9C25-95F778EF1E14}"/>
    <cellStyle name="40% - Accent4 2 2 6 4" xfId="11478" xr:uid="{592D92D6-81F2-4878-A57A-544E9E62368D}"/>
    <cellStyle name="40% - Accent4 2 2 7" xfId="2299" xr:uid="{00000000-0005-0000-0000-000022090000}"/>
    <cellStyle name="40% - Accent4 2 2 7 2" xfId="6605" xr:uid="{00000000-0005-0000-0000-0000F4190000}"/>
    <cellStyle name="40% - Accent4 2 2 7 2 2" xfId="16196" xr:uid="{59F0BF86-5294-420B-B609-3ADCD13089F9}"/>
    <cellStyle name="40% - Accent4 2 2 7 3" xfId="11891" xr:uid="{4062CBD8-AD7A-454C-9C30-F1F120DE058A}"/>
    <cellStyle name="40% - Accent4 2 2 8" xfId="4539" xr:uid="{00000000-0005-0000-0000-0000E2110000}"/>
    <cellStyle name="40% - Accent4 2 2 8 2" xfId="14130" xr:uid="{A34BFA66-5BC8-4A30-B980-1D93FC43F1FC}"/>
    <cellStyle name="40% - Accent4 2 2 9" xfId="8865" xr:uid="{00000000-0005-0000-0000-0000C8220000}"/>
    <cellStyle name="40% - Accent4 2 3" xfId="67" xr:uid="{00000000-0005-0000-0000-00004D000000}"/>
    <cellStyle name="40% - Accent4 2 3 2" xfId="607" xr:uid="{00000000-0005-0000-0000-000086020000}"/>
    <cellStyle name="40% - Accent4 2 3 2 2" xfId="2878" xr:uid="{00000000-0005-0000-0000-0000650B0000}"/>
    <cellStyle name="40% - Accent4 2 3 2 2 2" xfId="7100" xr:uid="{00000000-0005-0000-0000-0000E31B0000}"/>
    <cellStyle name="40% - Accent4 2 3 2 2 2 2" xfId="16691" xr:uid="{231F761E-7DFF-4CDA-A241-2AF123B68FFD}"/>
    <cellStyle name="40% - Accent4 2 3 2 2 3" xfId="12470" xr:uid="{E09575A1-DABB-4A0B-ADD6-2920C4E27154}"/>
    <cellStyle name="40% - Accent4 2 3 2 3" xfId="4955" xr:uid="{00000000-0005-0000-0000-000082130000}"/>
    <cellStyle name="40% - Accent4 2 3 2 3 2" xfId="14546" xr:uid="{693F5757-494B-4349-B0B9-427C7AD08FA8}"/>
    <cellStyle name="40% - Accent4 2 3 2 4" xfId="9394" xr:uid="{00000000-0005-0000-0000-0000D9240000}"/>
    <cellStyle name="40% - Accent4 2 3 2 5" xfId="10200" xr:uid="{5171A94C-05BA-4727-919B-3B32505BE5C3}"/>
    <cellStyle name="40% - Accent4 2 3 3" xfId="1060" xr:uid="{00000000-0005-0000-0000-00004B040000}"/>
    <cellStyle name="40% - Accent4 2 3 3 2" xfId="3291" xr:uid="{00000000-0005-0000-0000-0000020D0000}"/>
    <cellStyle name="40% - Accent4 2 3 3 2 2" xfId="7513" xr:uid="{00000000-0005-0000-0000-0000801D0000}"/>
    <cellStyle name="40% - Accent4 2 3 3 2 2 2" xfId="17104" xr:uid="{5E80B82C-7008-4D4E-8FB8-978E5894B4EA}"/>
    <cellStyle name="40% - Accent4 2 3 3 2 3" xfId="12883" xr:uid="{E3F669E6-A4E0-4A76-8805-0ED3FF38DA71}"/>
    <cellStyle name="40% - Accent4 2 3 3 3" xfId="5368" xr:uid="{00000000-0005-0000-0000-00001F150000}"/>
    <cellStyle name="40% - Accent4 2 3 3 3 2" xfId="14959" xr:uid="{F8202372-0BE5-40B0-98BF-71D935C8814E}"/>
    <cellStyle name="40% - Accent4 2 3 3 4" xfId="10653" xr:uid="{9BE64C78-1233-4F72-924E-B05466ECCFBD}"/>
    <cellStyle name="40% - Accent4 2 3 4" xfId="1474" xr:uid="{00000000-0005-0000-0000-0000E9050000}"/>
    <cellStyle name="40% - Accent4 2 3 4 2" xfId="3704" xr:uid="{00000000-0005-0000-0000-00009F0E0000}"/>
    <cellStyle name="40% - Accent4 2 3 4 2 2" xfId="7926" xr:uid="{00000000-0005-0000-0000-00001D1F0000}"/>
    <cellStyle name="40% - Accent4 2 3 4 2 2 2" xfId="17517" xr:uid="{2F21A14A-338C-4A08-AEA5-A4F8501FB03D}"/>
    <cellStyle name="40% - Accent4 2 3 4 2 3" xfId="13296" xr:uid="{1D7B2E51-3652-4152-82F6-F3ECA435CC0C}"/>
    <cellStyle name="40% - Accent4 2 3 4 3" xfId="5781" xr:uid="{00000000-0005-0000-0000-0000BC160000}"/>
    <cellStyle name="40% - Accent4 2 3 4 3 2" xfId="15372" xr:uid="{C2B086DD-FFFB-418A-BE03-1150345FBC3E}"/>
    <cellStyle name="40% - Accent4 2 3 4 4" xfId="11067" xr:uid="{F416B63B-9B2F-4E58-AB82-B884FA57A2BD}"/>
    <cellStyle name="40% - Accent4 2 3 5" xfId="1888" xr:uid="{00000000-0005-0000-0000-000087070000}"/>
    <cellStyle name="40% - Accent4 2 3 5 2" xfId="4117" xr:uid="{00000000-0005-0000-0000-00003C100000}"/>
    <cellStyle name="40% - Accent4 2 3 5 2 2" xfId="8339" xr:uid="{00000000-0005-0000-0000-0000BA200000}"/>
    <cellStyle name="40% - Accent4 2 3 5 2 2 2" xfId="17930" xr:uid="{A401C289-1E5F-4335-B996-2FAB6CE03E88}"/>
    <cellStyle name="40% - Accent4 2 3 5 2 3" xfId="13709" xr:uid="{6733C7FF-41F5-486D-AFF7-68E62F6D6A27}"/>
    <cellStyle name="40% - Accent4 2 3 5 3" xfId="6194" xr:uid="{00000000-0005-0000-0000-000059180000}"/>
    <cellStyle name="40% - Accent4 2 3 5 3 2" xfId="15785" xr:uid="{FAACAB38-1893-4AFC-A398-837E95F4EFED}"/>
    <cellStyle name="40% - Accent4 2 3 5 4" xfId="11480" xr:uid="{82D78639-E51B-4DFB-86DF-BF60DAAD7DEB}"/>
    <cellStyle name="40% - Accent4 2 3 6" xfId="2301" xr:uid="{00000000-0005-0000-0000-000024090000}"/>
    <cellStyle name="40% - Accent4 2 3 6 2" xfId="6607" xr:uid="{00000000-0005-0000-0000-0000F6190000}"/>
    <cellStyle name="40% - Accent4 2 3 6 2 2" xfId="16198" xr:uid="{4215B10B-16E5-465E-8F8D-27064C1F2C97}"/>
    <cellStyle name="40% - Accent4 2 3 6 3" xfId="11893" xr:uid="{45F6D7CA-8B7E-49A5-AE99-A13A55D71ABB}"/>
    <cellStyle name="40% - Accent4 2 3 7" xfId="4541" xr:uid="{00000000-0005-0000-0000-0000E4110000}"/>
    <cellStyle name="40% - Accent4 2 3 7 2" xfId="14132" xr:uid="{6F35CBF5-FA11-48EA-B41F-E1B329D574E8}"/>
    <cellStyle name="40% - Accent4 2 3 8" xfId="8969" xr:uid="{00000000-0005-0000-0000-000030230000}"/>
    <cellStyle name="40% - Accent4 2 3 9" xfId="9673" xr:uid="{7D7D8ED0-B33A-4C6A-87E3-D12D05F11918}"/>
    <cellStyle name="40% - Accent4 2 4" xfId="604" xr:uid="{00000000-0005-0000-0000-000083020000}"/>
    <cellStyle name="40% - Accent4 2 4 2" xfId="2875" xr:uid="{00000000-0005-0000-0000-0000620B0000}"/>
    <cellStyle name="40% - Accent4 2 4 2 2" xfId="7097" xr:uid="{00000000-0005-0000-0000-0000E01B0000}"/>
    <cellStyle name="40% - Accent4 2 4 2 2 2" xfId="16688" xr:uid="{1C28A0BB-B21D-4F41-A392-BC30F07500B5}"/>
    <cellStyle name="40% - Accent4 2 4 2 3" xfId="12467" xr:uid="{B50D0A54-7916-40BE-BCB8-C4ACA4FAE392}"/>
    <cellStyle name="40% - Accent4 2 4 3" xfId="4952" xr:uid="{00000000-0005-0000-0000-00007F130000}"/>
    <cellStyle name="40% - Accent4 2 4 3 2" xfId="14543" xr:uid="{DC385B91-D281-4C0F-8DFA-1203BE5545DF}"/>
    <cellStyle name="40% - Accent4 2 4 4" xfId="9186" xr:uid="{00000000-0005-0000-0000-000009240000}"/>
    <cellStyle name="40% - Accent4 2 4 5" xfId="10197" xr:uid="{6B6F0E6D-BDEF-4459-B3E1-CAD6651E8047}"/>
    <cellStyle name="40% - Accent4 2 5" xfId="1057" xr:uid="{00000000-0005-0000-0000-000048040000}"/>
    <cellStyle name="40% - Accent4 2 5 2" xfId="3288" xr:uid="{00000000-0005-0000-0000-0000FF0C0000}"/>
    <cellStyle name="40% - Accent4 2 5 2 2" xfId="7510" xr:uid="{00000000-0005-0000-0000-00007D1D0000}"/>
    <cellStyle name="40% - Accent4 2 5 2 2 2" xfId="17101" xr:uid="{147167B0-35F0-49EB-A266-7C28F0817989}"/>
    <cellStyle name="40% - Accent4 2 5 2 3" xfId="12880" xr:uid="{9B00C799-622F-4950-9C4F-4DBB2E827F1C}"/>
    <cellStyle name="40% - Accent4 2 5 3" xfId="5365" xr:uid="{00000000-0005-0000-0000-00001C150000}"/>
    <cellStyle name="40% - Accent4 2 5 3 2" xfId="14956" xr:uid="{C2C816DD-B717-431B-9B11-F10809F1FDE8}"/>
    <cellStyle name="40% - Accent4 2 5 4" xfId="10650" xr:uid="{484341D7-8460-419C-8A42-73348E31D079}"/>
    <cellStyle name="40% - Accent4 2 6" xfId="1471" xr:uid="{00000000-0005-0000-0000-0000E6050000}"/>
    <cellStyle name="40% - Accent4 2 6 2" xfId="3701" xr:uid="{00000000-0005-0000-0000-00009C0E0000}"/>
    <cellStyle name="40% - Accent4 2 6 2 2" xfId="7923" xr:uid="{00000000-0005-0000-0000-00001A1F0000}"/>
    <cellStyle name="40% - Accent4 2 6 2 2 2" xfId="17514" xr:uid="{5E3D2DC6-5409-4B41-B304-7EDF6659E604}"/>
    <cellStyle name="40% - Accent4 2 6 2 3" xfId="13293" xr:uid="{37A5036D-6F0C-4674-8E31-4700F600577C}"/>
    <cellStyle name="40% - Accent4 2 6 3" xfId="5778" xr:uid="{00000000-0005-0000-0000-0000B9160000}"/>
    <cellStyle name="40% - Accent4 2 6 3 2" xfId="15369" xr:uid="{3863E382-2A2A-4F39-8774-90C29C52C8FE}"/>
    <cellStyle name="40% - Accent4 2 6 4" xfId="11064" xr:uid="{8D87EEBE-F00A-4F66-9D78-3B9862229694}"/>
    <cellStyle name="40% - Accent4 2 7" xfId="1885" xr:uid="{00000000-0005-0000-0000-000084070000}"/>
    <cellStyle name="40% - Accent4 2 7 2" xfId="4114" xr:uid="{00000000-0005-0000-0000-000039100000}"/>
    <cellStyle name="40% - Accent4 2 7 2 2" xfId="8336" xr:uid="{00000000-0005-0000-0000-0000B7200000}"/>
    <cellStyle name="40% - Accent4 2 7 2 2 2" xfId="17927" xr:uid="{39C26B86-AC55-43EC-B15F-67C4D0685500}"/>
    <cellStyle name="40% - Accent4 2 7 2 3" xfId="13706" xr:uid="{90A86670-814D-47E8-BF9F-0DD5273F1BC3}"/>
    <cellStyle name="40% - Accent4 2 7 3" xfId="6191" xr:uid="{00000000-0005-0000-0000-000056180000}"/>
    <cellStyle name="40% - Accent4 2 7 3 2" xfId="15782" xr:uid="{D706F147-6858-4784-BFE8-A951F732B914}"/>
    <cellStyle name="40% - Accent4 2 7 4" xfId="11477" xr:uid="{BA48292D-7522-44A3-8825-487A1FF2FCB1}"/>
    <cellStyle name="40% - Accent4 2 8" xfId="2298" xr:uid="{00000000-0005-0000-0000-000021090000}"/>
    <cellStyle name="40% - Accent4 2 8 2" xfId="6604" xr:uid="{00000000-0005-0000-0000-0000F3190000}"/>
    <cellStyle name="40% - Accent4 2 8 2 2" xfId="16195" xr:uid="{D37DA852-CFE2-4454-B8F8-FF3033D00525}"/>
    <cellStyle name="40% - Accent4 2 8 3" xfId="11890" xr:uid="{D0602F04-EAAD-4283-84B0-BEE112B6BAE3}"/>
    <cellStyle name="40% - Accent4 2 9" xfId="4538" xr:uid="{00000000-0005-0000-0000-0000E1110000}"/>
    <cellStyle name="40% - Accent4 2 9 2" xfId="14129" xr:uid="{44FB4FA5-47DA-405A-A133-AC387969E373}"/>
    <cellStyle name="40% - Accent4 3" xfId="68" xr:uid="{00000000-0005-0000-0000-00004E000000}"/>
    <cellStyle name="40% - Accent4 3 10" xfId="9674" xr:uid="{290C8055-F208-44B4-8ACB-336561551910}"/>
    <cellStyle name="40% - Accent4 3 2" xfId="69" xr:uid="{00000000-0005-0000-0000-00004F000000}"/>
    <cellStyle name="40% - Accent4 3 2 2" xfId="609" xr:uid="{00000000-0005-0000-0000-000088020000}"/>
    <cellStyle name="40% - Accent4 3 2 2 2" xfId="2880" xr:uid="{00000000-0005-0000-0000-0000670B0000}"/>
    <cellStyle name="40% - Accent4 3 2 2 2 2" xfId="7102" xr:uid="{00000000-0005-0000-0000-0000E51B0000}"/>
    <cellStyle name="40% - Accent4 3 2 2 2 2 2" xfId="16693" xr:uid="{FBEBA4B3-EF32-4CCF-83AB-37FDD647A249}"/>
    <cellStyle name="40% - Accent4 3 2 2 2 3" xfId="12472" xr:uid="{AD3EDC76-479F-41DB-9092-F75579AFBA3C}"/>
    <cellStyle name="40% - Accent4 3 2 2 3" xfId="4957" xr:uid="{00000000-0005-0000-0000-000084130000}"/>
    <cellStyle name="40% - Accent4 3 2 2 3 2" xfId="14548" xr:uid="{2D49EFA0-C932-4714-BC5B-9D318F7A7D27}"/>
    <cellStyle name="40% - Accent4 3 2 2 4" xfId="9461" xr:uid="{00000000-0005-0000-0000-00001C250000}"/>
    <cellStyle name="40% - Accent4 3 2 2 5" xfId="10202" xr:uid="{5B01DFCD-92D8-4616-94E8-F50A1750FBB7}"/>
    <cellStyle name="40% - Accent4 3 2 3" xfId="1062" xr:uid="{00000000-0005-0000-0000-00004D040000}"/>
    <cellStyle name="40% - Accent4 3 2 3 2" xfId="3293" xr:uid="{00000000-0005-0000-0000-0000040D0000}"/>
    <cellStyle name="40% - Accent4 3 2 3 2 2" xfId="7515" xr:uid="{00000000-0005-0000-0000-0000821D0000}"/>
    <cellStyle name="40% - Accent4 3 2 3 2 2 2" xfId="17106" xr:uid="{56C000CB-E599-434E-B2C7-41A92288A53A}"/>
    <cellStyle name="40% - Accent4 3 2 3 2 3" xfId="12885" xr:uid="{ACDAD7FA-4181-4108-BA5B-8172A3D84628}"/>
    <cellStyle name="40% - Accent4 3 2 3 3" xfId="5370" xr:uid="{00000000-0005-0000-0000-000021150000}"/>
    <cellStyle name="40% - Accent4 3 2 3 3 2" xfId="14961" xr:uid="{52BD01E3-5506-4336-90A3-0BBC78D7D211}"/>
    <cellStyle name="40% - Accent4 3 2 3 4" xfId="10655" xr:uid="{13EAB4DB-E908-4593-9246-F1FA9DFCDF3D}"/>
    <cellStyle name="40% - Accent4 3 2 4" xfId="1476" xr:uid="{00000000-0005-0000-0000-0000EB050000}"/>
    <cellStyle name="40% - Accent4 3 2 4 2" xfId="3706" xr:uid="{00000000-0005-0000-0000-0000A10E0000}"/>
    <cellStyle name="40% - Accent4 3 2 4 2 2" xfId="7928" xr:uid="{00000000-0005-0000-0000-00001F1F0000}"/>
    <cellStyle name="40% - Accent4 3 2 4 2 2 2" xfId="17519" xr:uid="{DF67B449-0D4A-4CDF-B022-B08135FD9AEA}"/>
    <cellStyle name="40% - Accent4 3 2 4 2 3" xfId="13298" xr:uid="{9630C9E8-FC50-4272-88A8-3A243368A462}"/>
    <cellStyle name="40% - Accent4 3 2 4 3" xfId="5783" xr:uid="{00000000-0005-0000-0000-0000BE160000}"/>
    <cellStyle name="40% - Accent4 3 2 4 3 2" xfId="15374" xr:uid="{30E0EDFB-92E2-4234-9563-9D988AABCF7C}"/>
    <cellStyle name="40% - Accent4 3 2 4 4" xfId="11069" xr:uid="{25D691EF-796E-49FE-A1D5-794A544C74D7}"/>
    <cellStyle name="40% - Accent4 3 2 5" xfId="1890" xr:uid="{00000000-0005-0000-0000-000089070000}"/>
    <cellStyle name="40% - Accent4 3 2 5 2" xfId="4119" xr:uid="{00000000-0005-0000-0000-00003E100000}"/>
    <cellStyle name="40% - Accent4 3 2 5 2 2" xfId="8341" xr:uid="{00000000-0005-0000-0000-0000BC200000}"/>
    <cellStyle name="40% - Accent4 3 2 5 2 2 2" xfId="17932" xr:uid="{ED7FC538-A906-43F7-AF01-BA5FE9975C34}"/>
    <cellStyle name="40% - Accent4 3 2 5 2 3" xfId="13711" xr:uid="{F7FFA8DC-000A-4423-8696-68030D5517DC}"/>
    <cellStyle name="40% - Accent4 3 2 5 3" xfId="6196" xr:uid="{00000000-0005-0000-0000-00005B180000}"/>
    <cellStyle name="40% - Accent4 3 2 5 3 2" xfId="15787" xr:uid="{890FBC8C-0C7D-4589-A824-B331A6E64AA7}"/>
    <cellStyle name="40% - Accent4 3 2 5 4" xfId="11482" xr:uid="{B4A05834-502C-4801-A476-96B84A58288E}"/>
    <cellStyle name="40% - Accent4 3 2 6" xfId="2303" xr:uid="{00000000-0005-0000-0000-000026090000}"/>
    <cellStyle name="40% - Accent4 3 2 6 2" xfId="6609" xr:uid="{00000000-0005-0000-0000-0000F8190000}"/>
    <cellStyle name="40% - Accent4 3 2 6 2 2" xfId="16200" xr:uid="{16708851-12FB-46D0-BBF0-EE57A3B8C3D0}"/>
    <cellStyle name="40% - Accent4 3 2 6 3" xfId="11895" xr:uid="{3A93D06B-D6EF-40EF-B23C-49174F41F46D}"/>
    <cellStyle name="40% - Accent4 3 2 7" xfId="4543" xr:uid="{00000000-0005-0000-0000-0000E6110000}"/>
    <cellStyle name="40% - Accent4 3 2 7 2" xfId="14134" xr:uid="{16A88B7E-D0BA-4B7D-B074-5D0C49C76945}"/>
    <cellStyle name="40% - Accent4 3 2 8" xfId="9036" xr:uid="{00000000-0005-0000-0000-000073230000}"/>
    <cellStyle name="40% - Accent4 3 2 9" xfId="9675" xr:uid="{681E4743-B5D9-47C7-9495-E12F9508228D}"/>
    <cellStyle name="40% - Accent4 3 3" xfId="608" xr:uid="{00000000-0005-0000-0000-000087020000}"/>
    <cellStyle name="40% - Accent4 3 3 2" xfId="2879" xr:uid="{00000000-0005-0000-0000-0000660B0000}"/>
    <cellStyle name="40% - Accent4 3 3 2 2" xfId="7101" xr:uid="{00000000-0005-0000-0000-0000E41B0000}"/>
    <cellStyle name="40% - Accent4 3 3 2 2 2" xfId="16692" xr:uid="{F7ECA0FF-96C1-4F19-98C3-DCDB4884F34C}"/>
    <cellStyle name="40% - Accent4 3 3 2 3" xfId="12471" xr:uid="{C70D1291-5FCD-468B-BF64-BC73313472F4}"/>
    <cellStyle name="40% - Accent4 3 3 3" xfId="4956" xr:uid="{00000000-0005-0000-0000-000083130000}"/>
    <cellStyle name="40% - Accent4 3 3 3 2" xfId="14547" xr:uid="{4BA37A86-130A-4258-9E92-4E0778F1965A}"/>
    <cellStyle name="40% - Accent4 3 3 4" xfId="9254" xr:uid="{00000000-0005-0000-0000-00004D240000}"/>
    <cellStyle name="40% - Accent4 3 3 5" xfId="10201" xr:uid="{F119CE8D-4957-48E8-A988-9087F445C215}"/>
    <cellStyle name="40% - Accent4 3 4" xfId="1061" xr:uid="{00000000-0005-0000-0000-00004C040000}"/>
    <cellStyle name="40% - Accent4 3 4 2" xfId="3292" xr:uid="{00000000-0005-0000-0000-0000030D0000}"/>
    <cellStyle name="40% - Accent4 3 4 2 2" xfId="7514" xr:uid="{00000000-0005-0000-0000-0000811D0000}"/>
    <cellStyle name="40% - Accent4 3 4 2 2 2" xfId="17105" xr:uid="{E62F508B-4E99-4C59-A90F-201E38914F8E}"/>
    <cellStyle name="40% - Accent4 3 4 2 3" xfId="12884" xr:uid="{0C2E34FE-9588-423B-8652-CC390BC96844}"/>
    <cellStyle name="40% - Accent4 3 4 3" xfId="5369" xr:uid="{00000000-0005-0000-0000-000020150000}"/>
    <cellStyle name="40% - Accent4 3 4 3 2" xfId="14960" xr:uid="{8FBCD3F5-6215-4691-B64D-73C263C36B56}"/>
    <cellStyle name="40% - Accent4 3 4 4" xfId="10654" xr:uid="{2455EE74-081A-463E-ADD3-F1FEED0C39DE}"/>
    <cellStyle name="40% - Accent4 3 5" xfId="1475" xr:uid="{00000000-0005-0000-0000-0000EA050000}"/>
    <cellStyle name="40% - Accent4 3 5 2" xfId="3705" xr:uid="{00000000-0005-0000-0000-0000A00E0000}"/>
    <cellStyle name="40% - Accent4 3 5 2 2" xfId="7927" xr:uid="{00000000-0005-0000-0000-00001E1F0000}"/>
    <cellStyle name="40% - Accent4 3 5 2 2 2" xfId="17518" xr:uid="{E8212613-59A3-4848-9597-3C0425F3A2E3}"/>
    <cellStyle name="40% - Accent4 3 5 2 3" xfId="13297" xr:uid="{426F8250-E84A-4E06-9115-960690528869}"/>
    <cellStyle name="40% - Accent4 3 5 3" xfId="5782" xr:uid="{00000000-0005-0000-0000-0000BD160000}"/>
    <cellStyle name="40% - Accent4 3 5 3 2" xfId="15373" xr:uid="{5E086BF7-75CD-43F8-94CA-6FABDCA3DD95}"/>
    <cellStyle name="40% - Accent4 3 5 4" xfId="11068" xr:uid="{73D8AED2-03CB-4FB1-9F6C-F84542F8120B}"/>
    <cellStyle name="40% - Accent4 3 6" xfId="1889" xr:uid="{00000000-0005-0000-0000-000088070000}"/>
    <cellStyle name="40% - Accent4 3 6 2" xfId="4118" xr:uid="{00000000-0005-0000-0000-00003D100000}"/>
    <cellStyle name="40% - Accent4 3 6 2 2" xfId="8340" xr:uid="{00000000-0005-0000-0000-0000BB200000}"/>
    <cellStyle name="40% - Accent4 3 6 2 2 2" xfId="17931" xr:uid="{B7420CFC-463D-430F-A5FB-560CD9994631}"/>
    <cellStyle name="40% - Accent4 3 6 2 3" xfId="13710" xr:uid="{A5685E5B-BE5A-4B78-A4B5-A8732B750F28}"/>
    <cellStyle name="40% - Accent4 3 6 3" xfId="6195" xr:uid="{00000000-0005-0000-0000-00005A180000}"/>
    <cellStyle name="40% - Accent4 3 6 3 2" xfId="15786" xr:uid="{D97414E4-7820-4613-9708-5CA900389D6E}"/>
    <cellStyle name="40% - Accent4 3 6 4" xfId="11481" xr:uid="{8C8B3D28-E13A-4D52-9ECC-529324E4441A}"/>
    <cellStyle name="40% - Accent4 3 7" xfId="2302" xr:uid="{00000000-0005-0000-0000-000025090000}"/>
    <cellStyle name="40% - Accent4 3 7 2" xfId="6608" xr:uid="{00000000-0005-0000-0000-0000F7190000}"/>
    <cellStyle name="40% - Accent4 3 7 2 2" xfId="16199" xr:uid="{FFA8B1DD-852F-4F9F-8D66-30DC215D672A}"/>
    <cellStyle name="40% - Accent4 3 7 3" xfId="11894" xr:uid="{99BAB8BA-4A79-4814-B17F-6FEB5004C3B9}"/>
    <cellStyle name="40% - Accent4 3 8" xfId="4542" xr:uid="{00000000-0005-0000-0000-0000E5110000}"/>
    <cellStyle name="40% - Accent4 3 8 2" xfId="14133" xr:uid="{4E68AB60-2086-470F-9A40-3A3537532C7D}"/>
    <cellStyle name="40% - Accent4 3 9" xfId="8829" xr:uid="{00000000-0005-0000-0000-0000A4220000}"/>
    <cellStyle name="40% - Accent4 4" xfId="70" xr:uid="{00000000-0005-0000-0000-000050000000}"/>
    <cellStyle name="40% - Accent4 4 2" xfId="610" xr:uid="{00000000-0005-0000-0000-000089020000}"/>
    <cellStyle name="40% - Accent4 4 2 2" xfId="2881" xr:uid="{00000000-0005-0000-0000-0000680B0000}"/>
    <cellStyle name="40% - Accent4 4 2 2 2" xfId="7103" xr:uid="{00000000-0005-0000-0000-0000E61B0000}"/>
    <cellStyle name="40% - Accent4 4 2 2 2 2" xfId="16694" xr:uid="{422ACF1C-4C1C-4353-AEC6-D3CA3E057B73}"/>
    <cellStyle name="40% - Accent4 4 2 2 3" xfId="12473" xr:uid="{BB02D998-37E7-4526-BE29-A6606D59B46C}"/>
    <cellStyle name="40% - Accent4 4 2 3" xfId="4958" xr:uid="{00000000-0005-0000-0000-000085130000}"/>
    <cellStyle name="40% - Accent4 4 2 3 2" xfId="14549" xr:uid="{9025F638-DCF9-40F2-B5D0-6BA1B2A707AC}"/>
    <cellStyle name="40% - Accent4 4 2 4" xfId="9340" xr:uid="{00000000-0005-0000-0000-0000A3240000}"/>
    <cellStyle name="40% - Accent4 4 2 5" xfId="10203" xr:uid="{C1576849-E3B1-4B87-89D3-592D89049C11}"/>
    <cellStyle name="40% - Accent4 4 3" xfId="1063" xr:uid="{00000000-0005-0000-0000-00004E040000}"/>
    <cellStyle name="40% - Accent4 4 3 2" xfId="3294" xr:uid="{00000000-0005-0000-0000-0000050D0000}"/>
    <cellStyle name="40% - Accent4 4 3 2 2" xfId="7516" xr:uid="{00000000-0005-0000-0000-0000831D0000}"/>
    <cellStyle name="40% - Accent4 4 3 2 2 2" xfId="17107" xr:uid="{09E30D63-78B8-4692-9352-C9D8CC8B07BF}"/>
    <cellStyle name="40% - Accent4 4 3 2 3" xfId="12886" xr:uid="{4CE9179F-B594-432F-90A4-70E97B65DAA0}"/>
    <cellStyle name="40% - Accent4 4 3 3" xfId="5371" xr:uid="{00000000-0005-0000-0000-000022150000}"/>
    <cellStyle name="40% - Accent4 4 3 3 2" xfId="14962" xr:uid="{CC773ED7-0149-4C2A-8E97-D9BDF9AD63CF}"/>
    <cellStyle name="40% - Accent4 4 3 4" xfId="10656" xr:uid="{225D298F-F133-45C0-B737-91E4E931328A}"/>
    <cellStyle name="40% - Accent4 4 4" xfId="1477" xr:uid="{00000000-0005-0000-0000-0000EC050000}"/>
    <cellStyle name="40% - Accent4 4 4 2" xfId="3707" xr:uid="{00000000-0005-0000-0000-0000A20E0000}"/>
    <cellStyle name="40% - Accent4 4 4 2 2" xfId="7929" xr:uid="{00000000-0005-0000-0000-0000201F0000}"/>
    <cellStyle name="40% - Accent4 4 4 2 2 2" xfId="17520" xr:uid="{9E67BC1F-743B-4C03-88C3-051D9FF0A8DF}"/>
    <cellStyle name="40% - Accent4 4 4 2 3" xfId="13299" xr:uid="{5FE59CED-4D47-4B1D-B744-29098EE6BD9D}"/>
    <cellStyle name="40% - Accent4 4 4 3" xfId="5784" xr:uid="{00000000-0005-0000-0000-0000BF160000}"/>
    <cellStyle name="40% - Accent4 4 4 3 2" xfId="15375" xr:uid="{C3783090-AA1B-47B3-AA6C-A22F6695A717}"/>
    <cellStyle name="40% - Accent4 4 4 4" xfId="11070" xr:uid="{4B5988EA-1E2A-4A59-952B-94573BE6CF22}"/>
    <cellStyle name="40% - Accent4 4 5" xfId="1891" xr:uid="{00000000-0005-0000-0000-00008A070000}"/>
    <cellStyle name="40% - Accent4 4 5 2" xfId="4120" xr:uid="{00000000-0005-0000-0000-00003F100000}"/>
    <cellStyle name="40% - Accent4 4 5 2 2" xfId="8342" xr:uid="{00000000-0005-0000-0000-0000BD200000}"/>
    <cellStyle name="40% - Accent4 4 5 2 2 2" xfId="17933" xr:uid="{FD03FF82-F1DB-4E5A-B23B-826C0F0FE1FF}"/>
    <cellStyle name="40% - Accent4 4 5 2 3" xfId="13712" xr:uid="{98FD1DDD-1272-43B2-BD05-D16E88E4C9DA}"/>
    <cellStyle name="40% - Accent4 4 5 3" xfId="6197" xr:uid="{00000000-0005-0000-0000-00005C180000}"/>
    <cellStyle name="40% - Accent4 4 5 3 2" xfId="15788" xr:uid="{ABA5D0C8-A76B-4B15-9729-41AFEE6345B3}"/>
    <cellStyle name="40% - Accent4 4 5 4" xfId="11483" xr:uid="{4F4D4FE6-CB32-4993-8BEE-25E333B8B7F4}"/>
    <cellStyle name="40% - Accent4 4 6" xfId="2304" xr:uid="{00000000-0005-0000-0000-000027090000}"/>
    <cellStyle name="40% - Accent4 4 6 2" xfId="6610" xr:uid="{00000000-0005-0000-0000-0000F9190000}"/>
    <cellStyle name="40% - Accent4 4 6 2 2" xfId="16201" xr:uid="{4909E16F-3FC8-4DF0-B44C-192EFF850C03}"/>
    <cellStyle name="40% - Accent4 4 6 3" xfId="11896" xr:uid="{1B74900A-DB31-42DA-A48E-E31C87CD34B9}"/>
    <cellStyle name="40% - Accent4 4 7" xfId="4544" xr:uid="{00000000-0005-0000-0000-0000E7110000}"/>
    <cellStyle name="40% - Accent4 4 7 2" xfId="14135" xr:uid="{689EC647-E7DC-46F7-AEBB-B22E74D4F4F3}"/>
    <cellStyle name="40% - Accent4 4 8" xfId="8915" xr:uid="{00000000-0005-0000-0000-0000FA220000}"/>
    <cellStyle name="40% - Accent4 4 9" xfId="9676" xr:uid="{D7AC0EEA-DE73-4B47-B1B2-3D7A2758F6F5}"/>
    <cellStyle name="40% - Accent4 5" xfId="603" xr:uid="{00000000-0005-0000-0000-000082020000}"/>
    <cellStyle name="40% - Accent4 5 2" xfId="2874" xr:uid="{00000000-0005-0000-0000-0000610B0000}"/>
    <cellStyle name="40% - Accent4 5 2 2" xfId="7096" xr:uid="{00000000-0005-0000-0000-0000DF1B0000}"/>
    <cellStyle name="40% - Accent4 5 2 2 2" xfId="16687" xr:uid="{7EB4D209-2342-43EF-B160-6DEFD8E5FC5B}"/>
    <cellStyle name="40% - Accent4 5 2 3" xfId="12466" xr:uid="{1EA09534-11BB-4937-A66C-2556A864C5DB}"/>
    <cellStyle name="40% - Accent4 5 3" xfId="4951" xr:uid="{00000000-0005-0000-0000-00007E130000}"/>
    <cellStyle name="40% - Accent4 5 3 2" xfId="14542" xr:uid="{A7ED5128-1CB8-416C-A481-5A5D2CF5EC71}"/>
    <cellStyle name="40% - Accent4 5 4" xfId="9148" xr:uid="{00000000-0005-0000-0000-0000E3230000}"/>
    <cellStyle name="40% - Accent4 5 5" xfId="10196" xr:uid="{96A679A2-4A9F-43BB-A5A0-63462D2EFFFA}"/>
    <cellStyle name="40% - Accent4 6" xfId="1056" xr:uid="{00000000-0005-0000-0000-000047040000}"/>
    <cellStyle name="40% - Accent4 6 2" xfId="3287" xr:uid="{00000000-0005-0000-0000-0000FE0C0000}"/>
    <cellStyle name="40% - Accent4 6 2 2" xfId="7509" xr:uid="{00000000-0005-0000-0000-00007C1D0000}"/>
    <cellStyle name="40% - Accent4 6 2 2 2" xfId="17100" xr:uid="{E8477874-7BEB-4B0D-9CC2-B34C63035C70}"/>
    <cellStyle name="40% - Accent4 6 2 3" xfId="12879" xr:uid="{21096512-4B51-43F3-8BC4-8AA79C9C4F15}"/>
    <cellStyle name="40% - Accent4 6 3" xfId="5364" xr:uid="{00000000-0005-0000-0000-00001B150000}"/>
    <cellStyle name="40% - Accent4 6 3 2" xfId="14955" xr:uid="{7D11F1B7-CBFA-46DC-BD69-05065CE6E26A}"/>
    <cellStyle name="40% - Accent4 6 4" xfId="10649" xr:uid="{567F98FD-B820-4BE8-8102-CE4C14D0B8A2}"/>
    <cellStyle name="40% - Accent4 7" xfId="1470" xr:uid="{00000000-0005-0000-0000-0000E5050000}"/>
    <cellStyle name="40% - Accent4 7 2" xfId="3700" xr:uid="{00000000-0005-0000-0000-00009B0E0000}"/>
    <cellStyle name="40% - Accent4 7 2 2" xfId="7922" xr:uid="{00000000-0005-0000-0000-0000191F0000}"/>
    <cellStyle name="40% - Accent4 7 2 2 2" xfId="17513" xr:uid="{4B5D6999-E8B5-4868-9F10-B6483D9EB52B}"/>
    <cellStyle name="40% - Accent4 7 2 3" xfId="13292" xr:uid="{CDDD4F67-C426-4AD0-B96A-3E63807BB244}"/>
    <cellStyle name="40% - Accent4 7 3" xfId="5777" xr:uid="{00000000-0005-0000-0000-0000B8160000}"/>
    <cellStyle name="40% - Accent4 7 3 2" xfId="15368" xr:uid="{258675F4-6574-4D70-8895-A539AFC29756}"/>
    <cellStyle name="40% - Accent4 7 4" xfId="11063" xr:uid="{07C4EDC9-785E-4E9D-AD4B-2CDE61687C9B}"/>
    <cellStyle name="40% - Accent4 8" xfId="1884" xr:uid="{00000000-0005-0000-0000-000083070000}"/>
    <cellStyle name="40% - Accent4 8 2" xfId="4113" xr:uid="{00000000-0005-0000-0000-000038100000}"/>
    <cellStyle name="40% - Accent4 8 2 2" xfId="8335" xr:uid="{00000000-0005-0000-0000-0000B6200000}"/>
    <cellStyle name="40% - Accent4 8 2 2 2" xfId="17926" xr:uid="{D8AE52DA-CEF0-4FA2-8EE3-8928FF236887}"/>
    <cellStyle name="40% - Accent4 8 2 3" xfId="13705" xr:uid="{23D5D800-3BC8-49DE-874E-64A1867ACFD9}"/>
    <cellStyle name="40% - Accent4 8 3" xfId="6190" xr:uid="{00000000-0005-0000-0000-000055180000}"/>
    <cellStyle name="40% - Accent4 8 3 2" xfId="15781" xr:uid="{44E7AAC6-2D4F-4EFA-B82D-83C84800CEBD}"/>
    <cellStyle name="40% - Accent4 8 4" xfId="11476" xr:uid="{204EA8EC-28EB-4E64-B3BF-970ACDCA7D25}"/>
    <cellStyle name="40% - Accent4 9" xfId="2297" xr:uid="{00000000-0005-0000-0000-000020090000}"/>
    <cellStyle name="40% - Accent4 9 2" xfId="6603" xr:uid="{00000000-0005-0000-0000-0000F2190000}"/>
    <cellStyle name="40% - Accent4 9 2 2" xfId="16194" xr:uid="{AEA3CA11-B1F6-4E62-8C79-961192D48CA7}"/>
    <cellStyle name="40% - Accent4 9 3" xfId="11889" xr:uid="{09C8CCC3-00B7-4921-B61B-53EE625EB024}"/>
    <cellStyle name="40% - Accent5" xfId="9602" builtinId="47" customBuiltin="1"/>
    <cellStyle name="40% - Accent5 10" xfId="4545" xr:uid="{00000000-0005-0000-0000-0000E8110000}"/>
    <cellStyle name="40% - Accent5 10 2" xfId="14136" xr:uid="{EC61D8A7-C00F-45A8-A670-F3F16E55840F}"/>
    <cellStyle name="40% - Accent5 11" xfId="8728" xr:uid="{00000000-0005-0000-0000-00003F220000}"/>
    <cellStyle name="40% - Accent5 2" xfId="71" xr:uid="{00000000-0005-0000-0000-000052000000}"/>
    <cellStyle name="40% - Accent5 2 10" xfId="8763" xr:uid="{00000000-0005-0000-0000-000062220000}"/>
    <cellStyle name="40% - Accent5 2 11" xfId="9677" xr:uid="{6FE2220A-4C7A-442A-9C36-785F93264B12}"/>
    <cellStyle name="40% - Accent5 2 2" xfId="72" xr:uid="{00000000-0005-0000-0000-000053000000}"/>
    <cellStyle name="40% - Accent5 2 2 10" xfId="9678" xr:uid="{4CC02530-B3B8-4F56-9D57-BBB5E7067E6D}"/>
    <cellStyle name="40% - Accent5 2 2 2" xfId="73" xr:uid="{00000000-0005-0000-0000-000054000000}"/>
    <cellStyle name="40% - Accent5 2 2 2 2" xfId="614" xr:uid="{00000000-0005-0000-0000-00008D020000}"/>
    <cellStyle name="40% - Accent5 2 2 2 2 2" xfId="2885" xr:uid="{00000000-0005-0000-0000-00006C0B0000}"/>
    <cellStyle name="40% - Accent5 2 2 2 2 2 2" xfId="7107" xr:uid="{00000000-0005-0000-0000-0000EA1B0000}"/>
    <cellStyle name="40% - Accent5 2 2 2 2 2 2 2" xfId="16698" xr:uid="{B1A51BE5-002F-471E-BF1B-22DF553784F9}"/>
    <cellStyle name="40% - Accent5 2 2 2 2 2 3" xfId="12477" xr:uid="{741A1943-205A-40D7-9F56-D32B2C0A3C92}"/>
    <cellStyle name="40% - Accent5 2 2 2 2 3" xfId="4962" xr:uid="{00000000-0005-0000-0000-000089130000}"/>
    <cellStyle name="40% - Accent5 2 2 2 2 3 2" xfId="14553" xr:uid="{C8E74E89-1986-440B-A108-AEADDBA7C42F}"/>
    <cellStyle name="40% - Accent5 2 2 2 2 4" xfId="9498" xr:uid="{00000000-0005-0000-0000-000041250000}"/>
    <cellStyle name="40% - Accent5 2 2 2 2 5" xfId="10207" xr:uid="{80BB85E6-EE58-47BD-AF38-D8E93726774A}"/>
    <cellStyle name="40% - Accent5 2 2 2 3" xfId="1067" xr:uid="{00000000-0005-0000-0000-000052040000}"/>
    <cellStyle name="40% - Accent5 2 2 2 3 2" xfId="3298" xr:uid="{00000000-0005-0000-0000-0000090D0000}"/>
    <cellStyle name="40% - Accent5 2 2 2 3 2 2" xfId="7520" xr:uid="{00000000-0005-0000-0000-0000871D0000}"/>
    <cellStyle name="40% - Accent5 2 2 2 3 2 2 2" xfId="17111" xr:uid="{59A360FA-C9BF-472E-9C06-26B4986E4BFC}"/>
    <cellStyle name="40% - Accent5 2 2 2 3 2 3" xfId="12890" xr:uid="{CDA97C30-9DA3-4EB6-91C5-708047D9D486}"/>
    <cellStyle name="40% - Accent5 2 2 2 3 3" xfId="5375" xr:uid="{00000000-0005-0000-0000-000026150000}"/>
    <cellStyle name="40% - Accent5 2 2 2 3 3 2" xfId="14966" xr:uid="{834EF6AC-A367-4B31-BE70-A5C7978F2748}"/>
    <cellStyle name="40% - Accent5 2 2 2 3 4" xfId="10660" xr:uid="{F5DE4089-0577-4E0B-B1A2-37A45559416E}"/>
    <cellStyle name="40% - Accent5 2 2 2 4" xfId="1481" xr:uid="{00000000-0005-0000-0000-0000F0050000}"/>
    <cellStyle name="40% - Accent5 2 2 2 4 2" xfId="3711" xr:uid="{00000000-0005-0000-0000-0000A60E0000}"/>
    <cellStyle name="40% - Accent5 2 2 2 4 2 2" xfId="7933" xr:uid="{00000000-0005-0000-0000-0000241F0000}"/>
    <cellStyle name="40% - Accent5 2 2 2 4 2 2 2" xfId="17524" xr:uid="{39FDD195-D24D-4A8C-BA59-8BB9A6D4FEF0}"/>
    <cellStyle name="40% - Accent5 2 2 2 4 2 3" xfId="13303" xr:uid="{DD7446FE-1EE3-4F1B-BA2D-560902B7B541}"/>
    <cellStyle name="40% - Accent5 2 2 2 4 3" xfId="5788" xr:uid="{00000000-0005-0000-0000-0000C3160000}"/>
    <cellStyle name="40% - Accent5 2 2 2 4 3 2" xfId="15379" xr:uid="{BB969F33-D494-4164-8965-1D61BA0E3561}"/>
    <cellStyle name="40% - Accent5 2 2 2 4 4" xfId="11074" xr:uid="{69F9A066-F3AF-4E13-8CCA-2A47082CBF8F}"/>
    <cellStyle name="40% - Accent5 2 2 2 5" xfId="1895" xr:uid="{00000000-0005-0000-0000-00008E070000}"/>
    <cellStyle name="40% - Accent5 2 2 2 5 2" xfId="4124" xr:uid="{00000000-0005-0000-0000-000043100000}"/>
    <cellStyle name="40% - Accent5 2 2 2 5 2 2" xfId="8346" xr:uid="{00000000-0005-0000-0000-0000C1200000}"/>
    <cellStyle name="40% - Accent5 2 2 2 5 2 2 2" xfId="17937" xr:uid="{37BA1CC9-7087-41BC-81AD-7E1A0B55DF2D}"/>
    <cellStyle name="40% - Accent5 2 2 2 5 2 3" xfId="13716" xr:uid="{3210539D-DF48-44CA-9B31-A225A806A37E}"/>
    <cellStyle name="40% - Accent5 2 2 2 5 3" xfId="6201" xr:uid="{00000000-0005-0000-0000-000060180000}"/>
    <cellStyle name="40% - Accent5 2 2 2 5 3 2" xfId="15792" xr:uid="{5BB63B72-DF06-4881-A201-C863A4FA829A}"/>
    <cellStyle name="40% - Accent5 2 2 2 5 4" xfId="11487" xr:uid="{71C48593-E8CF-423F-9CB7-F879416939DA}"/>
    <cellStyle name="40% - Accent5 2 2 2 6" xfId="2308" xr:uid="{00000000-0005-0000-0000-00002B090000}"/>
    <cellStyle name="40% - Accent5 2 2 2 6 2" xfId="6614" xr:uid="{00000000-0005-0000-0000-0000FD190000}"/>
    <cellStyle name="40% - Accent5 2 2 2 6 2 2" xfId="16205" xr:uid="{7D6ECF60-CC7F-49FD-BB8F-7EB38426FBA5}"/>
    <cellStyle name="40% - Accent5 2 2 2 6 3" xfId="11900" xr:uid="{4111358F-D9C5-400E-B1EA-C52CEA53B650}"/>
    <cellStyle name="40% - Accent5 2 2 2 7" xfId="4548" xr:uid="{00000000-0005-0000-0000-0000EB110000}"/>
    <cellStyle name="40% - Accent5 2 2 2 7 2" xfId="14139" xr:uid="{E102744E-6316-424D-8F21-7044CEF89C0B}"/>
    <cellStyle name="40% - Accent5 2 2 2 8" xfId="9073" xr:uid="{00000000-0005-0000-0000-000098230000}"/>
    <cellStyle name="40% - Accent5 2 2 2 9" xfId="9679" xr:uid="{C83DCD11-BC97-4518-BEDC-B4EF030E3DBE}"/>
    <cellStyle name="40% - Accent5 2 2 3" xfId="613" xr:uid="{00000000-0005-0000-0000-00008C020000}"/>
    <cellStyle name="40% - Accent5 2 2 3 2" xfId="2884" xr:uid="{00000000-0005-0000-0000-00006B0B0000}"/>
    <cellStyle name="40% - Accent5 2 2 3 2 2" xfId="7106" xr:uid="{00000000-0005-0000-0000-0000E91B0000}"/>
    <cellStyle name="40% - Accent5 2 2 3 2 2 2" xfId="16697" xr:uid="{545085DF-5674-4F39-A017-446F754536B7}"/>
    <cellStyle name="40% - Accent5 2 2 3 2 3" xfId="12476" xr:uid="{6A7CA24C-DF5B-4A2B-A326-4580A2FCD68D}"/>
    <cellStyle name="40% - Accent5 2 2 3 3" xfId="4961" xr:uid="{00000000-0005-0000-0000-000088130000}"/>
    <cellStyle name="40% - Accent5 2 2 3 3 2" xfId="14552" xr:uid="{5166263F-9CA5-40FD-BB7A-064B98410A1F}"/>
    <cellStyle name="40% - Accent5 2 2 3 4" xfId="9291" xr:uid="{00000000-0005-0000-0000-000072240000}"/>
    <cellStyle name="40% - Accent5 2 2 3 5" xfId="10206" xr:uid="{19644394-0D13-4057-A478-0CA5E8AD9CD9}"/>
    <cellStyle name="40% - Accent5 2 2 4" xfId="1066" xr:uid="{00000000-0005-0000-0000-000051040000}"/>
    <cellStyle name="40% - Accent5 2 2 4 2" xfId="3297" xr:uid="{00000000-0005-0000-0000-0000080D0000}"/>
    <cellStyle name="40% - Accent5 2 2 4 2 2" xfId="7519" xr:uid="{00000000-0005-0000-0000-0000861D0000}"/>
    <cellStyle name="40% - Accent5 2 2 4 2 2 2" xfId="17110" xr:uid="{44C25162-57CA-4708-BA77-8434190CAB5A}"/>
    <cellStyle name="40% - Accent5 2 2 4 2 3" xfId="12889" xr:uid="{0240F0E6-70F9-4841-B366-A8E028FCC218}"/>
    <cellStyle name="40% - Accent5 2 2 4 3" xfId="5374" xr:uid="{00000000-0005-0000-0000-000025150000}"/>
    <cellStyle name="40% - Accent5 2 2 4 3 2" xfId="14965" xr:uid="{9E33527E-9C4E-4D43-B268-ABE6D7EB9132}"/>
    <cellStyle name="40% - Accent5 2 2 4 4" xfId="10659" xr:uid="{D1C9C915-3C63-4637-89C5-55D28897CAF4}"/>
    <cellStyle name="40% - Accent5 2 2 5" xfId="1480" xr:uid="{00000000-0005-0000-0000-0000EF050000}"/>
    <cellStyle name="40% - Accent5 2 2 5 2" xfId="3710" xr:uid="{00000000-0005-0000-0000-0000A50E0000}"/>
    <cellStyle name="40% - Accent5 2 2 5 2 2" xfId="7932" xr:uid="{00000000-0005-0000-0000-0000231F0000}"/>
    <cellStyle name="40% - Accent5 2 2 5 2 2 2" xfId="17523" xr:uid="{DB24A7CC-C613-4A31-93C6-824F8B2697A3}"/>
    <cellStyle name="40% - Accent5 2 2 5 2 3" xfId="13302" xr:uid="{6F4A768C-D764-46DA-8740-F6F42A02CA12}"/>
    <cellStyle name="40% - Accent5 2 2 5 3" xfId="5787" xr:uid="{00000000-0005-0000-0000-0000C2160000}"/>
    <cellStyle name="40% - Accent5 2 2 5 3 2" xfId="15378" xr:uid="{467B7B46-4EB4-4F4A-9FE1-253641B3785F}"/>
    <cellStyle name="40% - Accent5 2 2 5 4" xfId="11073" xr:uid="{05C7067A-0A89-4C8C-B383-38566F4F5DC6}"/>
    <cellStyle name="40% - Accent5 2 2 6" xfId="1894" xr:uid="{00000000-0005-0000-0000-00008D070000}"/>
    <cellStyle name="40% - Accent5 2 2 6 2" xfId="4123" xr:uid="{00000000-0005-0000-0000-000042100000}"/>
    <cellStyle name="40% - Accent5 2 2 6 2 2" xfId="8345" xr:uid="{00000000-0005-0000-0000-0000C0200000}"/>
    <cellStyle name="40% - Accent5 2 2 6 2 2 2" xfId="17936" xr:uid="{38C93A68-CCC3-4BFE-8E4C-0D344350F304}"/>
    <cellStyle name="40% - Accent5 2 2 6 2 3" xfId="13715" xr:uid="{34E886A5-4CA7-431E-8C93-C7EBA43B542C}"/>
    <cellStyle name="40% - Accent5 2 2 6 3" xfId="6200" xr:uid="{00000000-0005-0000-0000-00005F180000}"/>
    <cellStyle name="40% - Accent5 2 2 6 3 2" xfId="15791" xr:uid="{BBCEA357-B8EE-4798-B7EC-3BAFC9E1EF28}"/>
    <cellStyle name="40% - Accent5 2 2 6 4" xfId="11486" xr:uid="{FF1F3405-21B9-422C-A139-945990203DC4}"/>
    <cellStyle name="40% - Accent5 2 2 7" xfId="2307" xr:uid="{00000000-0005-0000-0000-00002A090000}"/>
    <cellStyle name="40% - Accent5 2 2 7 2" xfId="6613" xr:uid="{00000000-0005-0000-0000-0000FC190000}"/>
    <cellStyle name="40% - Accent5 2 2 7 2 2" xfId="16204" xr:uid="{6F76CC11-4848-4411-A2F4-B1DC57975AA4}"/>
    <cellStyle name="40% - Accent5 2 2 7 3" xfId="11899" xr:uid="{1DBA867D-BDDD-47AC-BA01-BE733C683413}"/>
    <cellStyle name="40% - Accent5 2 2 8" xfId="4547" xr:uid="{00000000-0005-0000-0000-0000EA110000}"/>
    <cellStyle name="40% - Accent5 2 2 8 2" xfId="14138" xr:uid="{4FEDCF25-4C57-4A79-AD33-1C719015EC09}"/>
    <cellStyle name="40% - Accent5 2 2 9" xfId="8866" xr:uid="{00000000-0005-0000-0000-0000C9220000}"/>
    <cellStyle name="40% - Accent5 2 3" xfId="74" xr:uid="{00000000-0005-0000-0000-000055000000}"/>
    <cellStyle name="40% - Accent5 2 3 2" xfId="615" xr:uid="{00000000-0005-0000-0000-00008E020000}"/>
    <cellStyle name="40% - Accent5 2 3 2 2" xfId="2886" xr:uid="{00000000-0005-0000-0000-00006D0B0000}"/>
    <cellStyle name="40% - Accent5 2 3 2 2 2" xfId="7108" xr:uid="{00000000-0005-0000-0000-0000EB1B0000}"/>
    <cellStyle name="40% - Accent5 2 3 2 2 2 2" xfId="16699" xr:uid="{5D61AFC5-08B9-475C-B334-F9B18504ED00}"/>
    <cellStyle name="40% - Accent5 2 3 2 2 3" xfId="12478" xr:uid="{E42A7594-2B83-4649-8EDB-9866264AAEAB}"/>
    <cellStyle name="40% - Accent5 2 3 2 3" xfId="4963" xr:uid="{00000000-0005-0000-0000-00008A130000}"/>
    <cellStyle name="40% - Accent5 2 3 2 3 2" xfId="14554" xr:uid="{FB6A5C18-A3FF-4D09-AE11-6F3FB8800513}"/>
    <cellStyle name="40% - Accent5 2 3 2 4" xfId="9395" xr:uid="{00000000-0005-0000-0000-0000DA240000}"/>
    <cellStyle name="40% - Accent5 2 3 2 5" xfId="10208" xr:uid="{D6CCD9BA-7385-4929-8933-9ADD8343AC2A}"/>
    <cellStyle name="40% - Accent5 2 3 3" xfId="1068" xr:uid="{00000000-0005-0000-0000-000053040000}"/>
    <cellStyle name="40% - Accent5 2 3 3 2" xfId="3299" xr:uid="{00000000-0005-0000-0000-00000A0D0000}"/>
    <cellStyle name="40% - Accent5 2 3 3 2 2" xfId="7521" xr:uid="{00000000-0005-0000-0000-0000881D0000}"/>
    <cellStyle name="40% - Accent5 2 3 3 2 2 2" xfId="17112" xr:uid="{B16FCC10-F827-48BD-989D-4B0543415122}"/>
    <cellStyle name="40% - Accent5 2 3 3 2 3" xfId="12891" xr:uid="{FEBC7C41-E969-4F84-AF8E-FD6BA8612C27}"/>
    <cellStyle name="40% - Accent5 2 3 3 3" xfId="5376" xr:uid="{00000000-0005-0000-0000-000027150000}"/>
    <cellStyle name="40% - Accent5 2 3 3 3 2" xfId="14967" xr:uid="{7BB12F62-3BD7-480D-B5AD-172E6D356AFE}"/>
    <cellStyle name="40% - Accent5 2 3 3 4" xfId="10661" xr:uid="{457B1C67-1F69-4A97-AA43-4781F72D0AE3}"/>
    <cellStyle name="40% - Accent5 2 3 4" xfId="1482" xr:uid="{00000000-0005-0000-0000-0000F1050000}"/>
    <cellStyle name="40% - Accent5 2 3 4 2" xfId="3712" xr:uid="{00000000-0005-0000-0000-0000A70E0000}"/>
    <cellStyle name="40% - Accent5 2 3 4 2 2" xfId="7934" xr:uid="{00000000-0005-0000-0000-0000251F0000}"/>
    <cellStyle name="40% - Accent5 2 3 4 2 2 2" xfId="17525" xr:uid="{6CDEB085-9DB5-4DD7-B416-9F4C2C40D864}"/>
    <cellStyle name="40% - Accent5 2 3 4 2 3" xfId="13304" xr:uid="{4928B4EA-2973-49E0-B6E3-E593BAB66A24}"/>
    <cellStyle name="40% - Accent5 2 3 4 3" xfId="5789" xr:uid="{00000000-0005-0000-0000-0000C4160000}"/>
    <cellStyle name="40% - Accent5 2 3 4 3 2" xfId="15380" xr:uid="{09D6BA2C-2CF2-48FB-8920-69544D69B56E}"/>
    <cellStyle name="40% - Accent5 2 3 4 4" xfId="11075" xr:uid="{803BDA2D-D678-4CEC-8A88-3EE8AAB6C857}"/>
    <cellStyle name="40% - Accent5 2 3 5" xfId="1896" xr:uid="{00000000-0005-0000-0000-00008F070000}"/>
    <cellStyle name="40% - Accent5 2 3 5 2" xfId="4125" xr:uid="{00000000-0005-0000-0000-000044100000}"/>
    <cellStyle name="40% - Accent5 2 3 5 2 2" xfId="8347" xr:uid="{00000000-0005-0000-0000-0000C2200000}"/>
    <cellStyle name="40% - Accent5 2 3 5 2 2 2" xfId="17938" xr:uid="{468DA9FC-EAAB-4FE9-A0DA-B770F1FA045F}"/>
    <cellStyle name="40% - Accent5 2 3 5 2 3" xfId="13717" xr:uid="{454AB535-01B0-414F-BFFA-7E36564ABF02}"/>
    <cellStyle name="40% - Accent5 2 3 5 3" xfId="6202" xr:uid="{00000000-0005-0000-0000-000061180000}"/>
    <cellStyle name="40% - Accent5 2 3 5 3 2" xfId="15793" xr:uid="{783D46A1-CB56-4461-B90B-0497088D3D01}"/>
    <cellStyle name="40% - Accent5 2 3 5 4" xfId="11488" xr:uid="{9A8F6B3F-FB1B-4EA4-9C9D-534F179A56C3}"/>
    <cellStyle name="40% - Accent5 2 3 6" xfId="2309" xr:uid="{00000000-0005-0000-0000-00002C090000}"/>
    <cellStyle name="40% - Accent5 2 3 6 2" xfId="6615" xr:uid="{00000000-0005-0000-0000-0000FE190000}"/>
    <cellStyle name="40% - Accent5 2 3 6 2 2" xfId="16206" xr:uid="{6505E5AA-CBCF-45DA-992F-FFB17C319D01}"/>
    <cellStyle name="40% - Accent5 2 3 6 3" xfId="11901" xr:uid="{83D0A960-3ADA-436F-A711-8EBF4A326448}"/>
    <cellStyle name="40% - Accent5 2 3 7" xfId="4549" xr:uid="{00000000-0005-0000-0000-0000EC110000}"/>
    <cellStyle name="40% - Accent5 2 3 7 2" xfId="14140" xr:uid="{C5DFA85F-90E4-4C41-B4E5-27290DA345A7}"/>
    <cellStyle name="40% - Accent5 2 3 8" xfId="8970" xr:uid="{00000000-0005-0000-0000-000031230000}"/>
    <cellStyle name="40% - Accent5 2 3 9" xfId="9680" xr:uid="{42F42644-1427-4A40-906A-EB4A9BEB91F8}"/>
    <cellStyle name="40% - Accent5 2 4" xfId="612" xr:uid="{00000000-0005-0000-0000-00008B020000}"/>
    <cellStyle name="40% - Accent5 2 4 2" xfId="2883" xr:uid="{00000000-0005-0000-0000-00006A0B0000}"/>
    <cellStyle name="40% - Accent5 2 4 2 2" xfId="7105" xr:uid="{00000000-0005-0000-0000-0000E81B0000}"/>
    <cellStyle name="40% - Accent5 2 4 2 2 2" xfId="16696" xr:uid="{A88ED079-0EA2-4EAC-AF4E-14C166EA0417}"/>
    <cellStyle name="40% - Accent5 2 4 2 3" xfId="12475" xr:uid="{E9E8A710-2E04-4154-8F6C-73E3101E0F78}"/>
    <cellStyle name="40% - Accent5 2 4 3" xfId="4960" xr:uid="{00000000-0005-0000-0000-000087130000}"/>
    <cellStyle name="40% - Accent5 2 4 3 2" xfId="14551" xr:uid="{A5E27EB2-1AA0-4A17-86EF-D8FB2836A8C8}"/>
    <cellStyle name="40% - Accent5 2 4 4" xfId="9187" xr:uid="{00000000-0005-0000-0000-00000A240000}"/>
    <cellStyle name="40% - Accent5 2 4 5" xfId="10205" xr:uid="{6FC002F4-4D91-4F15-BB81-0551CF54009C}"/>
    <cellStyle name="40% - Accent5 2 5" xfId="1065" xr:uid="{00000000-0005-0000-0000-000050040000}"/>
    <cellStyle name="40% - Accent5 2 5 2" xfId="3296" xr:uid="{00000000-0005-0000-0000-0000070D0000}"/>
    <cellStyle name="40% - Accent5 2 5 2 2" xfId="7518" xr:uid="{00000000-0005-0000-0000-0000851D0000}"/>
    <cellStyle name="40% - Accent5 2 5 2 2 2" xfId="17109" xr:uid="{82F731FA-B568-4BF7-B4F8-36C0D45F7E11}"/>
    <cellStyle name="40% - Accent5 2 5 2 3" xfId="12888" xr:uid="{49BC2658-D8F1-4A4A-8D17-3BBDB85774F7}"/>
    <cellStyle name="40% - Accent5 2 5 3" xfId="5373" xr:uid="{00000000-0005-0000-0000-000024150000}"/>
    <cellStyle name="40% - Accent5 2 5 3 2" xfId="14964" xr:uid="{D0DA9E0E-0D15-4617-835A-9D8D7C7C79E5}"/>
    <cellStyle name="40% - Accent5 2 5 4" xfId="10658" xr:uid="{DA652DF9-637E-4809-BABE-8A6E795AA386}"/>
    <cellStyle name="40% - Accent5 2 6" xfId="1479" xr:uid="{00000000-0005-0000-0000-0000EE050000}"/>
    <cellStyle name="40% - Accent5 2 6 2" xfId="3709" xr:uid="{00000000-0005-0000-0000-0000A40E0000}"/>
    <cellStyle name="40% - Accent5 2 6 2 2" xfId="7931" xr:uid="{00000000-0005-0000-0000-0000221F0000}"/>
    <cellStyle name="40% - Accent5 2 6 2 2 2" xfId="17522" xr:uid="{4CE26394-0FAE-47FB-AD86-E6F796E003B9}"/>
    <cellStyle name="40% - Accent5 2 6 2 3" xfId="13301" xr:uid="{121745E8-11C3-4841-883F-B101E35339B5}"/>
    <cellStyle name="40% - Accent5 2 6 3" xfId="5786" xr:uid="{00000000-0005-0000-0000-0000C1160000}"/>
    <cellStyle name="40% - Accent5 2 6 3 2" xfId="15377" xr:uid="{2EE4DE54-8C3E-4276-8A91-1AD2EE8E2C38}"/>
    <cellStyle name="40% - Accent5 2 6 4" xfId="11072" xr:uid="{C167EFF7-0537-48E5-80CE-204088D8F385}"/>
    <cellStyle name="40% - Accent5 2 7" xfId="1893" xr:uid="{00000000-0005-0000-0000-00008C070000}"/>
    <cellStyle name="40% - Accent5 2 7 2" xfId="4122" xr:uid="{00000000-0005-0000-0000-000041100000}"/>
    <cellStyle name="40% - Accent5 2 7 2 2" xfId="8344" xr:uid="{00000000-0005-0000-0000-0000BF200000}"/>
    <cellStyle name="40% - Accent5 2 7 2 2 2" xfId="17935" xr:uid="{77C9187B-65A1-42D1-9A0A-FC98BC3846AA}"/>
    <cellStyle name="40% - Accent5 2 7 2 3" xfId="13714" xr:uid="{CB364567-A3F1-4CE6-9E27-2CF6328E9DD2}"/>
    <cellStyle name="40% - Accent5 2 7 3" xfId="6199" xr:uid="{00000000-0005-0000-0000-00005E180000}"/>
    <cellStyle name="40% - Accent5 2 7 3 2" xfId="15790" xr:uid="{CA1E6655-391C-4CD6-9A84-B1094A4C3013}"/>
    <cellStyle name="40% - Accent5 2 7 4" xfId="11485" xr:uid="{E6661147-56CC-47BC-9213-D51FC2F6F495}"/>
    <cellStyle name="40% - Accent5 2 8" xfId="2306" xr:uid="{00000000-0005-0000-0000-000029090000}"/>
    <cellStyle name="40% - Accent5 2 8 2" xfId="6612" xr:uid="{00000000-0005-0000-0000-0000FB190000}"/>
    <cellStyle name="40% - Accent5 2 8 2 2" xfId="16203" xr:uid="{8FC4279F-F5D7-4B6B-8AB4-F2FE85CDAA26}"/>
    <cellStyle name="40% - Accent5 2 8 3" xfId="11898" xr:uid="{1618E115-2009-45F8-84C6-65B329CA9CB6}"/>
    <cellStyle name="40% - Accent5 2 9" xfId="4546" xr:uid="{00000000-0005-0000-0000-0000E9110000}"/>
    <cellStyle name="40% - Accent5 2 9 2" xfId="14137" xr:uid="{026EF67B-B7AE-4807-9816-8B69A35C7A99}"/>
    <cellStyle name="40% - Accent5 3" xfId="75" xr:uid="{00000000-0005-0000-0000-000056000000}"/>
    <cellStyle name="40% - Accent5 3 10" xfId="9681" xr:uid="{5BE4403B-4F3E-4359-A7EE-9F4786FEF220}"/>
    <cellStyle name="40% - Accent5 3 2" xfId="76" xr:uid="{00000000-0005-0000-0000-000057000000}"/>
    <cellStyle name="40% - Accent5 3 2 2" xfId="617" xr:uid="{00000000-0005-0000-0000-000090020000}"/>
    <cellStyle name="40% - Accent5 3 2 2 2" xfId="2888" xr:uid="{00000000-0005-0000-0000-00006F0B0000}"/>
    <cellStyle name="40% - Accent5 3 2 2 2 2" xfId="7110" xr:uid="{00000000-0005-0000-0000-0000ED1B0000}"/>
    <cellStyle name="40% - Accent5 3 2 2 2 2 2" xfId="16701" xr:uid="{F9F3D289-3128-4914-BBCC-C85D337A3C44}"/>
    <cellStyle name="40% - Accent5 3 2 2 2 3" xfId="12480" xr:uid="{6673B43A-7C09-4E9B-AF51-0E28EE9E72E0}"/>
    <cellStyle name="40% - Accent5 3 2 2 3" xfId="4965" xr:uid="{00000000-0005-0000-0000-00008C130000}"/>
    <cellStyle name="40% - Accent5 3 2 2 3 2" xfId="14556" xr:uid="{7D28EC81-DCD2-4912-8CE9-F2FDD395809B}"/>
    <cellStyle name="40% - Accent5 3 2 2 4" xfId="9463" xr:uid="{00000000-0005-0000-0000-00001E250000}"/>
    <cellStyle name="40% - Accent5 3 2 2 5" xfId="10210" xr:uid="{9748386D-D588-433C-9DBC-B6740C4524DA}"/>
    <cellStyle name="40% - Accent5 3 2 3" xfId="1070" xr:uid="{00000000-0005-0000-0000-000055040000}"/>
    <cellStyle name="40% - Accent5 3 2 3 2" xfId="3301" xr:uid="{00000000-0005-0000-0000-00000C0D0000}"/>
    <cellStyle name="40% - Accent5 3 2 3 2 2" xfId="7523" xr:uid="{00000000-0005-0000-0000-00008A1D0000}"/>
    <cellStyle name="40% - Accent5 3 2 3 2 2 2" xfId="17114" xr:uid="{610EE1D6-EB1E-4CED-A666-38828BCC738F}"/>
    <cellStyle name="40% - Accent5 3 2 3 2 3" xfId="12893" xr:uid="{BC3D5900-C8C1-44AE-8AC0-29E52B51B2EC}"/>
    <cellStyle name="40% - Accent5 3 2 3 3" xfId="5378" xr:uid="{00000000-0005-0000-0000-000029150000}"/>
    <cellStyle name="40% - Accent5 3 2 3 3 2" xfId="14969" xr:uid="{00763AFA-C618-47FF-8FCF-AA9AF05D4AAC}"/>
    <cellStyle name="40% - Accent5 3 2 3 4" xfId="10663" xr:uid="{9F35E6AE-BEEF-4D94-A3FA-474F18065C7D}"/>
    <cellStyle name="40% - Accent5 3 2 4" xfId="1484" xr:uid="{00000000-0005-0000-0000-0000F3050000}"/>
    <cellStyle name="40% - Accent5 3 2 4 2" xfId="3714" xr:uid="{00000000-0005-0000-0000-0000A90E0000}"/>
    <cellStyle name="40% - Accent5 3 2 4 2 2" xfId="7936" xr:uid="{00000000-0005-0000-0000-0000271F0000}"/>
    <cellStyle name="40% - Accent5 3 2 4 2 2 2" xfId="17527" xr:uid="{2C5ED30C-16F3-4688-84DD-D066770EC093}"/>
    <cellStyle name="40% - Accent5 3 2 4 2 3" xfId="13306" xr:uid="{0761E03B-98ED-4B13-A633-37F641017937}"/>
    <cellStyle name="40% - Accent5 3 2 4 3" xfId="5791" xr:uid="{00000000-0005-0000-0000-0000C6160000}"/>
    <cellStyle name="40% - Accent5 3 2 4 3 2" xfId="15382" xr:uid="{2346FE09-5147-4621-8B68-2FA9831CDAB4}"/>
    <cellStyle name="40% - Accent5 3 2 4 4" xfId="11077" xr:uid="{39D2F059-EF3F-4A71-99B1-6B5B68C59E79}"/>
    <cellStyle name="40% - Accent5 3 2 5" xfId="1898" xr:uid="{00000000-0005-0000-0000-000091070000}"/>
    <cellStyle name="40% - Accent5 3 2 5 2" xfId="4127" xr:uid="{00000000-0005-0000-0000-000046100000}"/>
    <cellStyle name="40% - Accent5 3 2 5 2 2" xfId="8349" xr:uid="{00000000-0005-0000-0000-0000C4200000}"/>
    <cellStyle name="40% - Accent5 3 2 5 2 2 2" xfId="17940" xr:uid="{9D1BF035-5579-47B7-B193-3B2BB0249050}"/>
    <cellStyle name="40% - Accent5 3 2 5 2 3" xfId="13719" xr:uid="{8C6AB430-99D7-48F0-91ED-B8010BD3943A}"/>
    <cellStyle name="40% - Accent5 3 2 5 3" xfId="6204" xr:uid="{00000000-0005-0000-0000-000063180000}"/>
    <cellStyle name="40% - Accent5 3 2 5 3 2" xfId="15795" xr:uid="{9B8A9DB2-EEF7-4C64-85D9-9E74D5D8A7F3}"/>
    <cellStyle name="40% - Accent5 3 2 5 4" xfId="11490" xr:uid="{1B427D3E-3001-4867-94A2-D1093D3939C0}"/>
    <cellStyle name="40% - Accent5 3 2 6" xfId="2311" xr:uid="{00000000-0005-0000-0000-00002E090000}"/>
    <cellStyle name="40% - Accent5 3 2 6 2" xfId="6617" xr:uid="{00000000-0005-0000-0000-0000001A0000}"/>
    <cellStyle name="40% - Accent5 3 2 6 2 2" xfId="16208" xr:uid="{5C78AA62-6C36-4153-A0D4-D592955F64BC}"/>
    <cellStyle name="40% - Accent5 3 2 6 3" xfId="11903" xr:uid="{D539971F-4AF0-4F9C-BE6C-C643428762D4}"/>
    <cellStyle name="40% - Accent5 3 2 7" xfId="4551" xr:uid="{00000000-0005-0000-0000-0000EE110000}"/>
    <cellStyle name="40% - Accent5 3 2 7 2" xfId="14142" xr:uid="{5B75E496-22D0-4CA2-AC15-EF8E9A80D865}"/>
    <cellStyle name="40% - Accent5 3 2 8" xfId="9038" xr:uid="{00000000-0005-0000-0000-000075230000}"/>
    <cellStyle name="40% - Accent5 3 2 9" xfId="9682" xr:uid="{AF7CF1D2-832A-46AB-AD3E-29AE7B869DAE}"/>
    <cellStyle name="40% - Accent5 3 3" xfId="616" xr:uid="{00000000-0005-0000-0000-00008F020000}"/>
    <cellStyle name="40% - Accent5 3 3 2" xfId="2887" xr:uid="{00000000-0005-0000-0000-00006E0B0000}"/>
    <cellStyle name="40% - Accent5 3 3 2 2" xfId="7109" xr:uid="{00000000-0005-0000-0000-0000EC1B0000}"/>
    <cellStyle name="40% - Accent5 3 3 2 2 2" xfId="16700" xr:uid="{E6FED1D8-D515-4E5D-BC17-AF8F5296A6F1}"/>
    <cellStyle name="40% - Accent5 3 3 2 3" xfId="12479" xr:uid="{2868AF23-D659-4268-A502-180650F72DAD}"/>
    <cellStyle name="40% - Accent5 3 3 3" xfId="4964" xr:uid="{00000000-0005-0000-0000-00008B130000}"/>
    <cellStyle name="40% - Accent5 3 3 3 2" xfId="14555" xr:uid="{B3F021A5-D48F-4799-A826-33FFB8BE4073}"/>
    <cellStyle name="40% - Accent5 3 3 4" xfId="9256" xr:uid="{00000000-0005-0000-0000-00004F240000}"/>
    <cellStyle name="40% - Accent5 3 3 5" xfId="10209" xr:uid="{9AB9EEB7-194F-45AD-8FF3-007F5D054828}"/>
    <cellStyle name="40% - Accent5 3 4" xfId="1069" xr:uid="{00000000-0005-0000-0000-000054040000}"/>
    <cellStyle name="40% - Accent5 3 4 2" xfId="3300" xr:uid="{00000000-0005-0000-0000-00000B0D0000}"/>
    <cellStyle name="40% - Accent5 3 4 2 2" xfId="7522" xr:uid="{00000000-0005-0000-0000-0000891D0000}"/>
    <cellStyle name="40% - Accent5 3 4 2 2 2" xfId="17113" xr:uid="{E584F6CA-630C-4899-BB52-E79E09937B55}"/>
    <cellStyle name="40% - Accent5 3 4 2 3" xfId="12892" xr:uid="{3BE549AF-BBBD-4C31-8073-B353E4FA5B27}"/>
    <cellStyle name="40% - Accent5 3 4 3" xfId="5377" xr:uid="{00000000-0005-0000-0000-000028150000}"/>
    <cellStyle name="40% - Accent5 3 4 3 2" xfId="14968" xr:uid="{E3FD348E-AD44-47EE-B207-8CC921DD08A6}"/>
    <cellStyle name="40% - Accent5 3 4 4" xfId="10662" xr:uid="{9B5FD141-A593-4618-A68E-B576E319F385}"/>
    <cellStyle name="40% - Accent5 3 5" xfId="1483" xr:uid="{00000000-0005-0000-0000-0000F2050000}"/>
    <cellStyle name="40% - Accent5 3 5 2" xfId="3713" xr:uid="{00000000-0005-0000-0000-0000A80E0000}"/>
    <cellStyle name="40% - Accent5 3 5 2 2" xfId="7935" xr:uid="{00000000-0005-0000-0000-0000261F0000}"/>
    <cellStyle name="40% - Accent5 3 5 2 2 2" xfId="17526" xr:uid="{2548442F-A0B2-4A3B-87F5-CBCB82CA12F6}"/>
    <cellStyle name="40% - Accent5 3 5 2 3" xfId="13305" xr:uid="{9406800F-326F-48BF-959D-97BD49CC7CBB}"/>
    <cellStyle name="40% - Accent5 3 5 3" xfId="5790" xr:uid="{00000000-0005-0000-0000-0000C5160000}"/>
    <cellStyle name="40% - Accent5 3 5 3 2" xfId="15381" xr:uid="{A0933B64-FD53-4053-89E1-E8D1BDACFFCF}"/>
    <cellStyle name="40% - Accent5 3 5 4" xfId="11076" xr:uid="{6A806335-6AE1-43D4-8705-007CE29455B9}"/>
    <cellStyle name="40% - Accent5 3 6" xfId="1897" xr:uid="{00000000-0005-0000-0000-000090070000}"/>
    <cellStyle name="40% - Accent5 3 6 2" xfId="4126" xr:uid="{00000000-0005-0000-0000-000045100000}"/>
    <cellStyle name="40% - Accent5 3 6 2 2" xfId="8348" xr:uid="{00000000-0005-0000-0000-0000C3200000}"/>
    <cellStyle name="40% - Accent5 3 6 2 2 2" xfId="17939" xr:uid="{094C709E-A033-4320-96F9-03C9551E9A38}"/>
    <cellStyle name="40% - Accent5 3 6 2 3" xfId="13718" xr:uid="{6C7DB031-E885-4431-88B3-554EF616B223}"/>
    <cellStyle name="40% - Accent5 3 6 3" xfId="6203" xr:uid="{00000000-0005-0000-0000-000062180000}"/>
    <cellStyle name="40% - Accent5 3 6 3 2" xfId="15794" xr:uid="{1AEA7C78-45CF-40E8-B4F8-226E95FDBF6E}"/>
    <cellStyle name="40% - Accent5 3 6 4" xfId="11489" xr:uid="{22AEC2D7-9C4E-49CF-AFDA-93C588F1E1F6}"/>
    <cellStyle name="40% - Accent5 3 7" xfId="2310" xr:uid="{00000000-0005-0000-0000-00002D090000}"/>
    <cellStyle name="40% - Accent5 3 7 2" xfId="6616" xr:uid="{00000000-0005-0000-0000-0000FF190000}"/>
    <cellStyle name="40% - Accent5 3 7 2 2" xfId="16207" xr:uid="{AEFF7AEF-1515-484F-B95D-659A6A45A093}"/>
    <cellStyle name="40% - Accent5 3 7 3" xfId="11902" xr:uid="{BF95AC74-8AE5-49EA-A56F-FCBC7A3B309D}"/>
    <cellStyle name="40% - Accent5 3 8" xfId="4550" xr:uid="{00000000-0005-0000-0000-0000ED110000}"/>
    <cellStyle name="40% - Accent5 3 8 2" xfId="14141" xr:uid="{55C69ED2-3E00-4029-AD6C-02FEC7BAF6C9}"/>
    <cellStyle name="40% - Accent5 3 9" xfId="8831" xr:uid="{00000000-0005-0000-0000-0000A6220000}"/>
    <cellStyle name="40% - Accent5 4" xfId="77" xr:uid="{00000000-0005-0000-0000-000058000000}"/>
    <cellStyle name="40% - Accent5 4 2" xfId="618" xr:uid="{00000000-0005-0000-0000-000091020000}"/>
    <cellStyle name="40% - Accent5 4 2 2" xfId="2889" xr:uid="{00000000-0005-0000-0000-0000700B0000}"/>
    <cellStyle name="40% - Accent5 4 2 2 2" xfId="7111" xr:uid="{00000000-0005-0000-0000-0000EE1B0000}"/>
    <cellStyle name="40% - Accent5 4 2 2 2 2" xfId="16702" xr:uid="{AC47B812-D1A6-4170-99D1-DDA4951E636D}"/>
    <cellStyle name="40% - Accent5 4 2 2 3" xfId="12481" xr:uid="{8A0FE4ED-5800-495A-B994-CDF7A9884081}"/>
    <cellStyle name="40% - Accent5 4 2 3" xfId="4966" xr:uid="{00000000-0005-0000-0000-00008D130000}"/>
    <cellStyle name="40% - Accent5 4 2 3 2" xfId="14557" xr:uid="{C0485B5C-B3DA-4F7E-B393-1FB66962D124}"/>
    <cellStyle name="40% - Accent5 4 2 4" xfId="9342" xr:uid="{00000000-0005-0000-0000-0000A5240000}"/>
    <cellStyle name="40% - Accent5 4 2 5" xfId="10211" xr:uid="{2AEADC62-A0AE-4DBE-9508-FAD23B142335}"/>
    <cellStyle name="40% - Accent5 4 3" xfId="1071" xr:uid="{00000000-0005-0000-0000-000056040000}"/>
    <cellStyle name="40% - Accent5 4 3 2" xfId="3302" xr:uid="{00000000-0005-0000-0000-00000D0D0000}"/>
    <cellStyle name="40% - Accent5 4 3 2 2" xfId="7524" xr:uid="{00000000-0005-0000-0000-00008B1D0000}"/>
    <cellStyle name="40% - Accent5 4 3 2 2 2" xfId="17115" xr:uid="{6A3A4151-A3D1-4250-B6AF-AC5D0B68602F}"/>
    <cellStyle name="40% - Accent5 4 3 2 3" xfId="12894" xr:uid="{2CC06900-1272-46C4-9AEE-D20670CA82B7}"/>
    <cellStyle name="40% - Accent5 4 3 3" xfId="5379" xr:uid="{00000000-0005-0000-0000-00002A150000}"/>
    <cellStyle name="40% - Accent5 4 3 3 2" xfId="14970" xr:uid="{2B8CE097-5B12-45C6-9EA4-2F3CD3C17605}"/>
    <cellStyle name="40% - Accent5 4 3 4" xfId="10664" xr:uid="{07FB238D-BBFA-4E77-9EEC-A5C25BD86780}"/>
    <cellStyle name="40% - Accent5 4 4" xfId="1485" xr:uid="{00000000-0005-0000-0000-0000F4050000}"/>
    <cellStyle name="40% - Accent5 4 4 2" xfId="3715" xr:uid="{00000000-0005-0000-0000-0000AA0E0000}"/>
    <cellStyle name="40% - Accent5 4 4 2 2" xfId="7937" xr:uid="{00000000-0005-0000-0000-0000281F0000}"/>
    <cellStyle name="40% - Accent5 4 4 2 2 2" xfId="17528" xr:uid="{F4744B43-546B-4897-8386-DF1D9A35E672}"/>
    <cellStyle name="40% - Accent5 4 4 2 3" xfId="13307" xr:uid="{D6AD80D7-8B1B-4559-BB9E-23B3823BB528}"/>
    <cellStyle name="40% - Accent5 4 4 3" xfId="5792" xr:uid="{00000000-0005-0000-0000-0000C7160000}"/>
    <cellStyle name="40% - Accent5 4 4 3 2" xfId="15383" xr:uid="{EF9B69E2-EB51-41B2-9432-AAF3BF45573F}"/>
    <cellStyle name="40% - Accent5 4 4 4" xfId="11078" xr:uid="{C0916D7D-6E0A-4224-94E4-2827E9BB02B0}"/>
    <cellStyle name="40% - Accent5 4 5" xfId="1899" xr:uid="{00000000-0005-0000-0000-000092070000}"/>
    <cellStyle name="40% - Accent5 4 5 2" xfId="4128" xr:uid="{00000000-0005-0000-0000-000047100000}"/>
    <cellStyle name="40% - Accent5 4 5 2 2" xfId="8350" xr:uid="{00000000-0005-0000-0000-0000C5200000}"/>
    <cellStyle name="40% - Accent5 4 5 2 2 2" xfId="17941" xr:uid="{64FE6189-4A04-45E6-9B9B-AA29C50A11C8}"/>
    <cellStyle name="40% - Accent5 4 5 2 3" xfId="13720" xr:uid="{1297F9E6-AC3D-412C-BD84-AF90CA7AD8DB}"/>
    <cellStyle name="40% - Accent5 4 5 3" xfId="6205" xr:uid="{00000000-0005-0000-0000-000064180000}"/>
    <cellStyle name="40% - Accent5 4 5 3 2" xfId="15796" xr:uid="{0F1AEBA7-8907-42B8-964F-E30607F25642}"/>
    <cellStyle name="40% - Accent5 4 5 4" xfId="11491" xr:uid="{71470B8C-D15B-4BF5-BCCF-BC738D571437}"/>
    <cellStyle name="40% - Accent5 4 6" xfId="2312" xr:uid="{00000000-0005-0000-0000-00002F090000}"/>
    <cellStyle name="40% - Accent5 4 6 2" xfId="6618" xr:uid="{00000000-0005-0000-0000-0000011A0000}"/>
    <cellStyle name="40% - Accent5 4 6 2 2" xfId="16209" xr:uid="{43BB1AE5-61BD-4E36-94D7-95472A7648AA}"/>
    <cellStyle name="40% - Accent5 4 6 3" xfId="11904" xr:uid="{CB9D7962-3D82-42F5-9E9E-07C9EF78118D}"/>
    <cellStyle name="40% - Accent5 4 7" xfId="4552" xr:uid="{00000000-0005-0000-0000-0000EF110000}"/>
    <cellStyle name="40% - Accent5 4 7 2" xfId="14143" xr:uid="{FC1E4B30-467B-43D4-96F0-2098D0A69195}"/>
    <cellStyle name="40% - Accent5 4 8" xfId="8917" xr:uid="{00000000-0005-0000-0000-0000FC220000}"/>
    <cellStyle name="40% - Accent5 4 9" xfId="9683" xr:uid="{9C151237-7B6E-4B1B-8564-6DB6969A00F0}"/>
    <cellStyle name="40% - Accent5 5" xfId="611" xr:uid="{00000000-0005-0000-0000-00008A020000}"/>
    <cellStyle name="40% - Accent5 5 2" xfId="2882" xr:uid="{00000000-0005-0000-0000-0000690B0000}"/>
    <cellStyle name="40% - Accent5 5 2 2" xfId="7104" xr:uid="{00000000-0005-0000-0000-0000E71B0000}"/>
    <cellStyle name="40% - Accent5 5 2 2 2" xfId="16695" xr:uid="{FCF93EC5-2263-48F9-8BDD-03FED83A3B85}"/>
    <cellStyle name="40% - Accent5 5 2 3" xfId="12474" xr:uid="{7490695E-67A7-4FAD-867E-F36FC2841172}"/>
    <cellStyle name="40% - Accent5 5 3" xfId="4959" xr:uid="{00000000-0005-0000-0000-000086130000}"/>
    <cellStyle name="40% - Accent5 5 3 2" xfId="14550" xr:uid="{D8FB627E-28BB-4712-8597-727D291E6AB7}"/>
    <cellStyle name="40% - Accent5 5 4" xfId="9150" xr:uid="{00000000-0005-0000-0000-0000E5230000}"/>
    <cellStyle name="40% - Accent5 5 5" xfId="10204" xr:uid="{07B14B7D-E843-45F4-9418-AA2ED8122A37}"/>
    <cellStyle name="40% - Accent5 6" xfId="1064" xr:uid="{00000000-0005-0000-0000-00004F040000}"/>
    <cellStyle name="40% - Accent5 6 2" xfId="3295" xr:uid="{00000000-0005-0000-0000-0000060D0000}"/>
    <cellStyle name="40% - Accent5 6 2 2" xfId="7517" xr:uid="{00000000-0005-0000-0000-0000841D0000}"/>
    <cellStyle name="40% - Accent5 6 2 2 2" xfId="17108" xr:uid="{93DB4AD2-735D-4948-8E7B-E4C51039B3A9}"/>
    <cellStyle name="40% - Accent5 6 2 3" xfId="12887" xr:uid="{DF25CCFD-06E6-498C-804D-94A6A01F62CB}"/>
    <cellStyle name="40% - Accent5 6 3" xfId="5372" xr:uid="{00000000-0005-0000-0000-000023150000}"/>
    <cellStyle name="40% - Accent5 6 3 2" xfId="14963" xr:uid="{62D98FF3-60D1-47E6-A5E7-3B53ED9D2DEC}"/>
    <cellStyle name="40% - Accent5 6 4" xfId="10657" xr:uid="{EF1939F0-5FAC-404D-9292-1BB7543D27F1}"/>
    <cellStyle name="40% - Accent5 7" xfId="1478" xr:uid="{00000000-0005-0000-0000-0000ED050000}"/>
    <cellStyle name="40% - Accent5 7 2" xfId="3708" xr:uid="{00000000-0005-0000-0000-0000A30E0000}"/>
    <cellStyle name="40% - Accent5 7 2 2" xfId="7930" xr:uid="{00000000-0005-0000-0000-0000211F0000}"/>
    <cellStyle name="40% - Accent5 7 2 2 2" xfId="17521" xr:uid="{7288721D-08F7-4FC7-9237-3184121B41D4}"/>
    <cellStyle name="40% - Accent5 7 2 3" xfId="13300" xr:uid="{69D9990F-BA4B-427E-B5FD-08077C6E8FEB}"/>
    <cellStyle name="40% - Accent5 7 3" xfId="5785" xr:uid="{00000000-0005-0000-0000-0000C0160000}"/>
    <cellStyle name="40% - Accent5 7 3 2" xfId="15376" xr:uid="{EC0E69BD-9017-4C0D-A275-716F3AE09BB3}"/>
    <cellStyle name="40% - Accent5 7 4" xfId="11071" xr:uid="{7F2E457F-CE49-49F8-848C-B491A165AB39}"/>
    <cellStyle name="40% - Accent5 8" xfId="1892" xr:uid="{00000000-0005-0000-0000-00008B070000}"/>
    <cellStyle name="40% - Accent5 8 2" xfId="4121" xr:uid="{00000000-0005-0000-0000-000040100000}"/>
    <cellStyle name="40% - Accent5 8 2 2" xfId="8343" xr:uid="{00000000-0005-0000-0000-0000BE200000}"/>
    <cellStyle name="40% - Accent5 8 2 2 2" xfId="17934" xr:uid="{6561D92C-5285-4A78-BAC0-6E3965425C69}"/>
    <cellStyle name="40% - Accent5 8 2 3" xfId="13713" xr:uid="{82965CE2-7D28-49AC-A31A-A9C03C5994A5}"/>
    <cellStyle name="40% - Accent5 8 3" xfId="6198" xr:uid="{00000000-0005-0000-0000-00005D180000}"/>
    <cellStyle name="40% - Accent5 8 3 2" xfId="15789" xr:uid="{484D2632-EE5C-49D7-80BF-AF5BE50DFDF6}"/>
    <cellStyle name="40% - Accent5 8 4" xfId="11484" xr:uid="{2F358F34-22AB-4CCF-B2F4-29927400DDDE}"/>
    <cellStyle name="40% - Accent5 9" xfId="2305" xr:uid="{00000000-0005-0000-0000-000028090000}"/>
    <cellStyle name="40% - Accent5 9 2" xfId="6611" xr:uid="{00000000-0005-0000-0000-0000FA190000}"/>
    <cellStyle name="40% - Accent5 9 2 2" xfId="16202" xr:uid="{8B763259-7F9A-453E-9F79-6F8840880CFD}"/>
    <cellStyle name="40% - Accent5 9 3" xfId="11897" xr:uid="{F82F1DFF-C142-4286-9056-4EDC730B5F00}"/>
    <cellStyle name="40% - Accent6" xfId="9605" builtinId="51" customBuiltin="1"/>
    <cellStyle name="40% - Accent6 10" xfId="4553" xr:uid="{00000000-0005-0000-0000-0000F0110000}"/>
    <cellStyle name="40% - Accent6 10 2" xfId="14144" xr:uid="{5784697A-30F5-4402-90E6-17313944A3A4}"/>
    <cellStyle name="40% - Accent6 11" xfId="8730" xr:uid="{00000000-0005-0000-0000-000041220000}"/>
    <cellStyle name="40% - Accent6 2" xfId="78" xr:uid="{00000000-0005-0000-0000-00005A000000}"/>
    <cellStyle name="40% - Accent6 2 10" xfId="8764" xr:uid="{00000000-0005-0000-0000-000063220000}"/>
    <cellStyle name="40% - Accent6 2 11" xfId="9684" xr:uid="{6C98F26A-BFFC-46A5-8A32-FB75337448A8}"/>
    <cellStyle name="40% - Accent6 2 2" xfId="79" xr:uid="{00000000-0005-0000-0000-00005B000000}"/>
    <cellStyle name="40% - Accent6 2 2 10" xfId="9685" xr:uid="{FFCBABD1-5148-4158-865A-ADEDA66CD1AE}"/>
    <cellStyle name="40% - Accent6 2 2 2" xfId="80" xr:uid="{00000000-0005-0000-0000-00005C000000}"/>
    <cellStyle name="40% - Accent6 2 2 2 2" xfId="622" xr:uid="{00000000-0005-0000-0000-000095020000}"/>
    <cellStyle name="40% - Accent6 2 2 2 2 2" xfId="2893" xr:uid="{00000000-0005-0000-0000-0000740B0000}"/>
    <cellStyle name="40% - Accent6 2 2 2 2 2 2" xfId="7115" xr:uid="{00000000-0005-0000-0000-0000F21B0000}"/>
    <cellStyle name="40% - Accent6 2 2 2 2 2 2 2" xfId="16706" xr:uid="{BDE01A93-1E3B-438E-86B0-3E6B32D188DE}"/>
    <cellStyle name="40% - Accent6 2 2 2 2 2 3" xfId="12485" xr:uid="{A298AC46-F336-4E5B-B3A9-0504585DBE76}"/>
    <cellStyle name="40% - Accent6 2 2 2 2 3" xfId="4970" xr:uid="{00000000-0005-0000-0000-000091130000}"/>
    <cellStyle name="40% - Accent6 2 2 2 2 3 2" xfId="14561" xr:uid="{1F90A89A-2893-49A7-827F-BE34B2C3F778}"/>
    <cellStyle name="40% - Accent6 2 2 2 2 4" xfId="9499" xr:uid="{00000000-0005-0000-0000-000042250000}"/>
    <cellStyle name="40% - Accent6 2 2 2 2 5" xfId="10215" xr:uid="{8FACC675-113F-4805-94C5-74D23F018149}"/>
    <cellStyle name="40% - Accent6 2 2 2 3" xfId="1075" xr:uid="{00000000-0005-0000-0000-00005A040000}"/>
    <cellStyle name="40% - Accent6 2 2 2 3 2" xfId="3306" xr:uid="{00000000-0005-0000-0000-0000110D0000}"/>
    <cellStyle name="40% - Accent6 2 2 2 3 2 2" xfId="7528" xr:uid="{00000000-0005-0000-0000-00008F1D0000}"/>
    <cellStyle name="40% - Accent6 2 2 2 3 2 2 2" xfId="17119" xr:uid="{F6286DAA-01A4-43DD-83D5-19D0C4188468}"/>
    <cellStyle name="40% - Accent6 2 2 2 3 2 3" xfId="12898" xr:uid="{704BCE3D-FBD8-470D-B7ED-142138B25536}"/>
    <cellStyle name="40% - Accent6 2 2 2 3 3" xfId="5383" xr:uid="{00000000-0005-0000-0000-00002E150000}"/>
    <cellStyle name="40% - Accent6 2 2 2 3 3 2" xfId="14974" xr:uid="{97637812-5A31-4CA4-9B99-7ABAF0C6D192}"/>
    <cellStyle name="40% - Accent6 2 2 2 3 4" xfId="10668" xr:uid="{24385961-99B4-4903-AB50-69DB6EB7CAE5}"/>
    <cellStyle name="40% - Accent6 2 2 2 4" xfId="1489" xr:uid="{00000000-0005-0000-0000-0000F8050000}"/>
    <cellStyle name="40% - Accent6 2 2 2 4 2" xfId="3719" xr:uid="{00000000-0005-0000-0000-0000AE0E0000}"/>
    <cellStyle name="40% - Accent6 2 2 2 4 2 2" xfId="7941" xr:uid="{00000000-0005-0000-0000-00002C1F0000}"/>
    <cellStyle name="40% - Accent6 2 2 2 4 2 2 2" xfId="17532" xr:uid="{B5E2CFA5-274D-46FB-8261-7C25A03CFC28}"/>
    <cellStyle name="40% - Accent6 2 2 2 4 2 3" xfId="13311" xr:uid="{E83543AD-35AC-431B-B5C9-DDFC16B74B9A}"/>
    <cellStyle name="40% - Accent6 2 2 2 4 3" xfId="5796" xr:uid="{00000000-0005-0000-0000-0000CB160000}"/>
    <cellStyle name="40% - Accent6 2 2 2 4 3 2" xfId="15387" xr:uid="{6A89FA97-BBC6-4D7F-AC96-58CAA8344823}"/>
    <cellStyle name="40% - Accent6 2 2 2 4 4" xfId="11082" xr:uid="{D320428C-CC04-4FB9-9C1C-A54786E712D9}"/>
    <cellStyle name="40% - Accent6 2 2 2 5" xfId="1903" xr:uid="{00000000-0005-0000-0000-000096070000}"/>
    <cellStyle name="40% - Accent6 2 2 2 5 2" xfId="4132" xr:uid="{00000000-0005-0000-0000-00004B100000}"/>
    <cellStyle name="40% - Accent6 2 2 2 5 2 2" xfId="8354" xr:uid="{00000000-0005-0000-0000-0000C9200000}"/>
    <cellStyle name="40% - Accent6 2 2 2 5 2 2 2" xfId="17945" xr:uid="{8990B74E-5DDD-460D-81B0-456E5EDCE57F}"/>
    <cellStyle name="40% - Accent6 2 2 2 5 2 3" xfId="13724" xr:uid="{6E6E8DFF-6C8F-4429-A4F2-30CC9270CD8A}"/>
    <cellStyle name="40% - Accent6 2 2 2 5 3" xfId="6209" xr:uid="{00000000-0005-0000-0000-000068180000}"/>
    <cellStyle name="40% - Accent6 2 2 2 5 3 2" xfId="15800" xr:uid="{8EAAF248-873A-4FD6-9CEE-5F07344096AC}"/>
    <cellStyle name="40% - Accent6 2 2 2 5 4" xfId="11495" xr:uid="{8FE1E8A6-5893-478C-A7E0-F2799BA1C89C}"/>
    <cellStyle name="40% - Accent6 2 2 2 6" xfId="2316" xr:uid="{00000000-0005-0000-0000-000033090000}"/>
    <cellStyle name="40% - Accent6 2 2 2 6 2" xfId="6622" xr:uid="{00000000-0005-0000-0000-0000051A0000}"/>
    <cellStyle name="40% - Accent6 2 2 2 6 2 2" xfId="16213" xr:uid="{30F8A816-5029-4137-9D6A-DACD6EB06111}"/>
    <cellStyle name="40% - Accent6 2 2 2 6 3" xfId="11908" xr:uid="{A0E15764-7F3E-4F3D-8F16-1597719528E5}"/>
    <cellStyle name="40% - Accent6 2 2 2 7" xfId="4556" xr:uid="{00000000-0005-0000-0000-0000F3110000}"/>
    <cellStyle name="40% - Accent6 2 2 2 7 2" xfId="14147" xr:uid="{C8988B43-B02D-4B67-91E8-D613F918DD9B}"/>
    <cellStyle name="40% - Accent6 2 2 2 8" xfId="9074" xr:uid="{00000000-0005-0000-0000-000099230000}"/>
    <cellStyle name="40% - Accent6 2 2 2 9" xfId="9686" xr:uid="{272839CF-914E-4445-B63A-D93D11C8CB32}"/>
    <cellStyle name="40% - Accent6 2 2 3" xfId="621" xr:uid="{00000000-0005-0000-0000-000094020000}"/>
    <cellStyle name="40% - Accent6 2 2 3 2" xfId="2892" xr:uid="{00000000-0005-0000-0000-0000730B0000}"/>
    <cellStyle name="40% - Accent6 2 2 3 2 2" xfId="7114" xr:uid="{00000000-0005-0000-0000-0000F11B0000}"/>
    <cellStyle name="40% - Accent6 2 2 3 2 2 2" xfId="16705" xr:uid="{59064170-AC50-408D-9FC5-44915E9536E9}"/>
    <cellStyle name="40% - Accent6 2 2 3 2 3" xfId="12484" xr:uid="{4E6FDDFD-746B-4C4E-8190-A4CBF94DF064}"/>
    <cellStyle name="40% - Accent6 2 2 3 3" xfId="4969" xr:uid="{00000000-0005-0000-0000-000090130000}"/>
    <cellStyle name="40% - Accent6 2 2 3 3 2" xfId="14560" xr:uid="{D271C93A-9AD8-4839-BFD8-6ED7EA33B307}"/>
    <cellStyle name="40% - Accent6 2 2 3 4" xfId="9292" xr:uid="{00000000-0005-0000-0000-000073240000}"/>
    <cellStyle name="40% - Accent6 2 2 3 5" xfId="10214" xr:uid="{E682CB9E-49C1-45C9-B3E0-25E3D2A4B373}"/>
    <cellStyle name="40% - Accent6 2 2 4" xfId="1074" xr:uid="{00000000-0005-0000-0000-000059040000}"/>
    <cellStyle name="40% - Accent6 2 2 4 2" xfId="3305" xr:uid="{00000000-0005-0000-0000-0000100D0000}"/>
    <cellStyle name="40% - Accent6 2 2 4 2 2" xfId="7527" xr:uid="{00000000-0005-0000-0000-00008E1D0000}"/>
    <cellStyle name="40% - Accent6 2 2 4 2 2 2" xfId="17118" xr:uid="{606E6769-C308-42FA-A630-DF009E5DC8EF}"/>
    <cellStyle name="40% - Accent6 2 2 4 2 3" xfId="12897" xr:uid="{5657FB43-D98D-44BA-BACC-4323733B6E98}"/>
    <cellStyle name="40% - Accent6 2 2 4 3" xfId="5382" xr:uid="{00000000-0005-0000-0000-00002D150000}"/>
    <cellStyle name="40% - Accent6 2 2 4 3 2" xfId="14973" xr:uid="{E6D1B19F-9B4E-46F4-A9B4-69C509CE6EF9}"/>
    <cellStyle name="40% - Accent6 2 2 4 4" xfId="10667" xr:uid="{CDC4D825-DFB1-4962-9480-CDC4C6B9E1F9}"/>
    <cellStyle name="40% - Accent6 2 2 5" xfId="1488" xr:uid="{00000000-0005-0000-0000-0000F7050000}"/>
    <cellStyle name="40% - Accent6 2 2 5 2" xfId="3718" xr:uid="{00000000-0005-0000-0000-0000AD0E0000}"/>
    <cellStyle name="40% - Accent6 2 2 5 2 2" xfId="7940" xr:uid="{00000000-0005-0000-0000-00002B1F0000}"/>
    <cellStyle name="40% - Accent6 2 2 5 2 2 2" xfId="17531" xr:uid="{32DEE0B6-D9E6-45B1-B43F-B5E18C8DF1FE}"/>
    <cellStyle name="40% - Accent6 2 2 5 2 3" xfId="13310" xr:uid="{82BEA5F1-15CF-4114-B3BB-6531C20BA3C8}"/>
    <cellStyle name="40% - Accent6 2 2 5 3" xfId="5795" xr:uid="{00000000-0005-0000-0000-0000CA160000}"/>
    <cellStyle name="40% - Accent6 2 2 5 3 2" xfId="15386" xr:uid="{1178DAB7-3C92-4BE2-AA0B-A4B387D2D928}"/>
    <cellStyle name="40% - Accent6 2 2 5 4" xfId="11081" xr:uid="{B0592F50-B99D-4F03-82B8-8CABF6308730}"/>
    <cellStyle name="40% - Accent6 2 2 6" xfId="1902" xr:uid="{00000000-0005-0000-0000-000095070000}"/>
    <cellStyle name="40% - Accent6 2 2 6 2" xfId="4131" xr:uid="{00000000-0005-0000-0000-00004A100000}"/>
    <cellStyle name="40% - Accent6 2 2 6 2 2" xfId="8353" xr:uid="{00000000-0005-0000-0000-0000C8200000}"/>
    <cellStyle name="40% - Accent6 2 2 6 2 2 2" xfId="17944" xr:uid="{9E02EE52-692B-4CF9-A4AF-D41CCC693047}"/>
    <cellStyle name="40% - Accent6 2 2 6 2 3" xfId="13723" xr:uid="{32120A27-CADB-4D71-B324-DD029E199BE5}"/>
    <cellStyle name="40% - Accent6 2 2 6 3" xfId="6208" xr:uid="{00000000-0005-0000-0000-000067180000}"/>
    <cellStyle name="40% - Accent6 2 2 6 3 2" xfId="15799" xr:uid="{64D149C5-EC09-4AC1-8845-1764B6E2249E}"/>
    <cellStyle name="40% - Accent6 2 2 6 4" xfId="11494" xr:uid="{9CCEC5C4-74E0-474A-A50F-DF0E4D56292B}"/>
    <cellStyle name="40% - Accent6 2 2 7" xfId="2315" xr:uid="{00000000-0005-0000-0000-000032090000}"/>
    <cellStyle name="40% - Accent6 2 2 7 2" xfId="6621" xr:uid="{00000000-0005-0000-0000-0000041A0000}"/>
    <cellStyle name="40% - Accent6 2 2 7 2 2" xfId="16212" xr:uid="{E52F23B3-A737-46B4-BAB1-F387E8FDAEF4}"/>
    <cellStyle name="40% - Accent6 2 2 7 3" xfId="11907" xr:uid="{524EAB11-8D3F-48AF-9F86-9F0764173592}"/>
    <cellStyle name="40% - Accent6 2 2 8" xfId="4555" xr:uid="{00000000-0005-0000-0000-0000F2110000}"/>
    <cellStyle name="40% - Accent6 2 2 8 2" xfId="14146" xr:uid="{89973929-2D4A-468C-9899-3FFA138CE838}"/>
    <cellStyle name="40% - Accent6 2 2 9" xfId="8867" xr:uid="{00000000-0005-0000-0000-0000CA220000}"/>
    <cellStyle name="40% - Accent6 2 3" xfId="81" xr:uid="{00000000-0005-0000-0000-00005D000000}"/>
    <cellStyle name="40% - Accent6 2 3 2" xfId="623" xr:uid="{00000000-0005-0000-0000-000096020000}"/>
    <cellStyle name="40% - Accent6 2 3 2 2" xfId="2894" xr:uid="{00000000-0005-0000-0000-0000750B0000}"/>
    <cellStyle name="40% - Accent6 2 3 2 2 2" xfId="7116" xr:uid="{00000000-0005-0000-0000-0000F31B0000}"/>
    <cellStyle name="40% - Accent6 2 3 2 2 2 2" xfId="16707" xr:uid="{5C1B7E65-CA37-4076-9D6A-066428AAE831}"/>
    <cellStyle name="40% - Accent6 2 3 2 2 3" xfId="12486" xr:uid="{AA05FC57-A71E-496D-BF51-76152CD38C57}"/>
    <cellStyle name="40% - Accent6 2 3 2 3" xfId="4971" xr:uid="{00000000-0005-0000-0000-000092130000}"/>
    <cellStyle name="40% - Accent6 2 3 2 3 2" xfId="14562" xr:uid="{C2D34A30-942B-42A5-BA78-61AA9BF65EBE}"/>
    <cellStyle name="40% - Accent6 2 3 2 4" xfId="9396" xr:uid="{00000000-0005-0000-0000-0000DB240000}"/>
    <cellStyle name="40% - Accent6 2 3 2 5" xfId="10216" xr:uid="{F76E07FA-9671-4D34-9A0A-168179D1544E}"/>
    <cellStyle name="40% - Accent6 2 3 3" xfId="1076" xr:uid="{00000000-0005-0000-0000-00005B040000}"/>
    <cellStyle name="40% - Accent6 2 3 3 2" xfId="3307" xr:uid="{00000000-0005-0000-0000-0000120D0000}"/>
    <cellStyle name="40% - Accent6 2 3 3 2 2" xfId="7529" xr:uid="{00000000-0005-0000-0000-0000901D0000}"/>
    <cellStyle name="40% - Accent6 2 3 3 2 2 2" xfId="17120" xr:uid="{6F97D427-CB98-44EA-9884-97801505A372}"/>
    <cellStyle name="40% - Accent6 2 3 3 2 3" xfId="12899" xr:uid="{A87D275E-E0F9-4706-95D7-DC82325FD50B}"/>
    <cellStyle name="40% - Accent6 2 3 3 3" xfId="5384" xr:uid="{00000000-0005-0000-0000-00002F150000}"/>
    <cellStyle name="40% - Accent6 2 3 3 3 2" xfId="14975" xr:uid="{0409D641-4F19-4014-9CA0-2709421D281F}"/>
    <cellStyle name="40% - Accent6 2 3 3 4" xfId="10669" xr:uid="{8F4506EA-427E-4611-ADB2-4CBE29A57B6C}"/>
    <cellStyle name="40% - Accent6 2 3 4" xfId="1490" xr:uid="{00000000-0005-0000-0000-0000F9050000}"/>
    <cellStyle name="40% - Accent6 2 3 4 2" xfId="3720" xr:uid="{00000000-0005-0000-0000-0000AF0E0000}"/>
    <cellStyle name="40% - Accent6 2 3 4 2 2" xfId="7942" xr:uid="{00000000-0005-0000-0000-00002D1F0000}"/>
    <cellStyle name="40% - Accent6 2 3 4 2 2 2" xfId="17533" xr:uid="{DD04DDC8-F2D8-4F9D-9969-4A980BA671FA}"/>
    <cellStyle name="40% - Accent6 2 3 4 2 3" xfId="13312" xr:uid="{F23544B2-F17B-42F8-A2EE-A6B29F976525}"/>
    <cellStyle name="40% - Accent6 2 3 4 3" xfId="5797" xr:uid="{00000000-0005-0000-0000-0000CC160000}"/>
    <cellStyle name="40% - Accent6 2 3 4 3 2" xfId="15388" xr:uid="{0D2332C7-A4FF-419D-B284-919E927E3CAC}"/>
    <cellStyle name="40% - Accent6 2 3 4 4" xfId="11083" xr:uid="{3B35D0B3-E851-45EC-AD1D-EB96FEDEE933}"/>
    <cellStyle name="40% - Accent6 2 3 5" xfId="1904" xr:uid="{00000000-0005-0000-0000-000097070000}"/>
    <cellStyle name="40% - Accent6 2 3 5 2" xfId="4133" xr:uid="{00000000-0005-0000-0000-00004C100000}"/>
    <cellStyle name="40% - Accent6 2 3 5 2 2" xfId="8355" xr:uid="{00000000-0005-0000-0000-0000CA200000}"/>
    <cellStyle name="40% - Accent6 2 3 5 2 2 2" xfId="17946" xr:uid="{66CAA76F-4A38-4705-ACBE-3E6B63310ACF}"/>
    <cellStyle name="40% - Accent6 2 3 5 2 3" xfId="13725" xr:uid="{6BAA79D1-03C8-444F-BFF4-D9EA22157E2B}"/>
    <cellStyle name="40% - Accent6 2 3 5 3" xfId="6210" xr:uid="{00000000-0005-0000-0000-000069180000}"/>
    <cellStyle name="40% - Accent6 2 3 5 3 2" xfId="15801" xr:uid="{0F873E86-8DB1-42FB-8428-D404E0C73026}"/>
    <cellStyle name="40% - Accent6 2 3 5 4" xfId="11496" xr:uid="{3C915F62-1256-41DB-8EF9-2EF97299914A}"/>
    <cellStyle name="40% - Accent6 2 3 6" xfId="2317" xr:uid="{00000000-0005-0000-0000-000034090000}"/>
    <cellStyle name="40% - Accent6 2 3 6 2" xfId="6623" xr:uid="{00000000-0005-0000-0000-0000061A0000}"/>
    <cellStyle name="40% - Accent6 2 3 6 2 2" xfId="16214" xr:uid="{76589EC2-C9DD-4E7D-9001-47AC239686D0}"/>
    <cellStyle name="40% - Accent6 2 3 6 3" xfId="11909" xr:uid="{7118FB62-1D0C-43AA-B6E8-3095894EDE0F}"/>
    <cellStyle name="40% - Accent6 2 3 7" xfId="4557" xr:uid="{00000000-0005-0000-0000-0000F4110000}"/>
    <cellStyle name="40% - Accent6 2 3 7 2" xfId="14148" xr:uid="{82DA92FF-0DC9-4DC1-B7DB-CC0B7713CAB7}"/>
    <cellStyle name="40% - Accent6 2 3 8" xfId="8971" xr:uid="{00000000-0005-0000-0000-000032230000}"/>
    <cellStyle name="40% - Accent6 2 3 9" xfId="9687" xr:uid="{C9EC09A5-A0CD-4A96-B06E-11B233670024}"/>
    <cellStyle name="40% - Accent6 2 4" xfId="620" xr:uid="{00000000-0005-0000-0000-000093020000}"/>
    <cellStyle name="40% - Accent6 2 4 2" xfId="2891" xr:uid="{00000000-0005-0000-0000-0000720B0000}"/>
    <cellStyle name="40% - Accent6 2 4 2 2" xfId="7113" xr:uid="{00000000-0005-0000-0000-0000F01B0000}"/>
    <cellStyle name="40% - Accent6 2 4 2 2 2" xfId="16704" xr:uid="{2B757604-0622-4D8D-B464-4CFC195FD0F4}"/>
    <cellStyle name="40% - Accent6 2 4 2 3" xfId="12483" xr:uid="{B4A9C536-8DB4-4ABD-BF6E-FDD5BE315E43}"/>
    <cellStyle name="40% - Accent6 2 4 3" xfId="4968" xr:uid="{00000000-0005-0000-0000-00008F130000}"/>
    <cellStyle name="40% - Accent6 2 4 3 2" xfId="14559" xr:uid="{AAE71587-3404-45BC-8D0A-76384C71C523}"/>
    <cellStyle name="40% - Accent6 2 4 4" xfId="9188" xr:uid="{00000000-0005-0000-0000-00000B240000}"/>
    <cellStyle name="40% - Accent6 2 4 5" xfId="10213" xr:uid="{378F1A19-FEEA-4B10-9763-0B246EFFCBED}"/>
    <cellStyle name="40% - Accent6 2 5" xfId="1073" xr:uid="{00000000-0005-0000-0000-000058040000}"/>
    <cellStyle name="40% - Accent6 2 5 2" xfId="3304" xr:uid="{00000000-0005-0000-0000-00000F0D0000}"/>
    <cellStyle name="40% - Accent6 2 5 2 2" xfId="7526" xr:uid="{00000000-0005-0000-0000-00008D1D0000}"/>
    <cellStyle name="40% - Accent6 2 5 2 2 2" xfId="17117" xr:uid="{1E9A1C6B-6669-4C93-8410-691290717A2A}"/>
    <cellStyle name="40% - Accent6 2 5 2 3" xfId="12896" xr:uid="{708D30EB-662D-44DE-9A5C-64BF7A23BD5B}"/>
    <cellStyle name="40% - Accent6 2 5 3" xfId="5381" xr:uid="{00000000-0005-0000-0000-00002C150000}"/>
    <cellStyle name="40% - Accent6 2 5 3 2" xfId="14972" xr:uid="{DF9E60CA-B598-4765-AEE0-3D44B72A7EC6}"/>
    <cellStyle name="40% - Accent6 2 5 4" xfId="10666" xr:uid="{CDFDE96C-BC3B-45A6-991D-7AF6FA136AA8}"/>
    <cellStyle name="40% - Accent6 2 6" xfId="1487" xr:uid="{00000000-0005-0000-0000-0000F6050000}"/>
    <cellStyle name="40% - Accent6 2 6 2" xfId="3717" xr:uid="{00000000-0005-0000-0000-0000AC0E0000}"/>
    <cellStyle name="40% - Accent6 2 6 2 2" xfId="7939" xr:uid="{00000000-0005-0000-0000-00002A1F0000}"/>
    <cellStyle name="40% - Accent6 2 6 2 2 2" xfId="17530" xr:uid="{1855FFFF-D71A-4651-B550-87A842F239CF}"/>
    <cellStyle name="40% - Accent6 2 6 2 3" xfId="13309" xr:uid="{716BC642-0BA0-4780-A848-BB301DC7DFC0}"/>
    <cellStyle name="40% - Accent6 2 6 3" xfId="5794" xr:uid="{00000000-0005-0000-0000-0000C9160000}"/>
    <cellStyle name="40% - Accent6 2 6 3 2" xfId="15385" xr:uid="{59D53F96-323B-4797-A57D-9603990A2948}"/>
    <cellStyle name="40% - Accent6 2 6 4" xfId="11080" xr:uid="{1B942A9A-B38C-4A4F-97F1-CE724C5EA6E7}"/>
    <cellStyle name="40% - Accent6 2 7" xfId="1901" xr:uid="{00000000-0005-0000-0000-000094070000}"/>
    <cellStyle name="40% - Accent6 2 7 2" xfId="4130" xr:uid="{00000000-0005-0000-0000-000049100000}"/>
    <cellStyle name="40% - Accent6 2 7 2 2" xfId="8352" xr:uid="{00000000-0005-0000-0000-0000C7200000}"/>
    <cellStyle name="40% - Accent6 2 7 2 2 2" xfId="17943" xr:uid="{8658CF11-2945-4C21-8FBF-CAB6D24737A5}"/>
    <cellStyle name="40% - Accent6 2 7 2 3" xfId="13722" xr:uid="{652A2509-83C0-4B92-8F53-02712041773C}"/>
    <cellStyle name="40% - Accent6 2 7 3" xfId="6207" xr:uid="{00000000-0005-0000-0000-000066180000}"/>
    <cellStyle name="40% - Accent6 2 7 3 2" xfId="15798" xr:uid="{C370EAA6-6695-4BB1-A719-B09B35B884F0}"/>
    <cellStyle name="40% - Accent6 2 7 4" xfId="11493" xr:uid="{5F8DE1FB-4F2E-4E88-A9BD-3FAAFC675B03}"/>
    <cellStyle name="40% - Accent6 2 8" xfId="2314" xr:uid="{00000000-0005-0000-0000-000031090000}"/>
    <cellStyle name="40% - Accent6 2 8 2" xfId="6620" xr:uid="{00000000-0005-0000-0000-0000031A0000}"/>
    <cellStyle name="40% - Accent6 2 8 2 2" xfId="16211" xr:uid="{53B641BF-130F-45D0-90F8-271709A304CE}"/>
    <cellStyle name="40% - Accent6 2 8 3" xfId="11906" xr:uid="{32BD2F4D-874D-4A63-8399-58DDD5022229}"/>
    <cellStyle name="40% - Accent6 2 9" xfId="4554" xr:uid="{00000000-0005-0000-0000-0000F1110000}"/>
    <cellStyle name="40% - Accent6 2 9 2" xfId="14145" xr:uid="{392A8B19-D0EB-41CE-96AA-1426021BDB18}"/>
    <cellStyle name="40% - Accent6 3" xfId="82" xr:uid="{00000000-0005-0000-0000-00005E000000}"/>
    <cellStyle name="40% - Accent6 3 10" xfId="9688" xr:uid="{AC802C91-1F28-4927-BBF5-8944EC8CA065}"/>
    <cellStyle name="40% - Accent6 3 2" xfId="83" xr:uid="{00000000-0005-0000-0000-00005F000000}"/>
    <cellStyle name="40% - Accent6 3 2 2" xfId="625" xr:uid="{00000000-0005-0000-0000-000098020000}"/>
    <cellStyle name="40% - Accent6 3 2 2 2" xfId="2896" xr:uid="{00000000-0005-0000-0000-0000770B0000}"/>
    <cellStyle name="40% - Accent6 3 2 2 2 2" xfId="7118" xr:uid="{00000000-0005-0000-0000-0000F51B0000}"/>
    <cellStyle name="40% - Accent6 3 2 2 2 2 2" xfId="16709" xr:uid="{24F3EA08-562F-4749-8E3F-2D3EC3184E1E}"/>
    <cellStyle name="40% - Accent6 3 2 2 2 3" xfId="12488" xr:uid="{19E7C4FA-3507-41CB-94BF-D34B49513F64}"/>
    <cellStyle name="40% - Accent6 3 2 2 3" xfId="4973" xr:uid="{00000000-0005-0000-0000-000094130000}"/>
    <cellStyle name="40% - Accent6 3 2 2 3 2" xfId="14564" xr:uid="{A28502D5-92B3-44DD-B716-32D9C854E753}"/>
    <cellStyle name="40% - Accent6 3 2 2 4" xfId="9465" xr:uid="{00000000-0005-0000-0000-000020250000}"/>
    <cellStyle name="40% - Accent6 3 2 2 5" xfId="10218" xr:uid="{2F53D3AD-7F69-4D92-AD90-72F03B10117E}"/>
    <cellStyle name="40% - Accent6 3 2 3" xfId="1078" xr:uid="{00000000-0005-0000-0000-00005D040000}"/>
    <cellStyle name="40% - Accent6 3 2 3 2" xfId="3309" xr:uid="{00000000-0005-0000-0000-0000140D0000}"/>
    <cellStyle name="40% - Accent6 3 2 3 2 2" xfId="7531" xr:uid="{00000000-0005-0000-0000-0000921D0000}"/>
    <cellStyle name="40% - Accent6 3 2 3 2 2 2" xfId="17122" xr:uid="{ED61F2FC-222C-4EC6-88DC-F878B85ADCD4}"/>
    <cellStyle name="40% - Accent6 3 2 3 2 3" xfId="12901" xr:uid="{B0378978-214D-4175-B5FD-E6F9104E9EFE}"/>
    <cellStyle name="40% - Accent6 3 2 3 3" xfId="5386" xr:uid="{00000000-0005-0000-0000-000031150000}"/>
    <cellStyle name="40% - Accent6 3 2 3 3 2" xfId="14977" xr:uid="{CD8F5FF8-EE63-48CD-A0C3-F2632FD89ECA}"/>
    <cellStyle name="40% - Accent6 3 2 3 4" xfId="10671" xr:uid="{191945B3-507E-46AD-8750-3509281D344F}"/>
    <cellStyle name="40% - Accent6 3 2 4" xfId="1492" xr:uid="{00000000-0005-0000-0000-0000FB050000}"/>
    <cellStyle name="40% - Accent6 3 2 4 2" xfId="3722" xr:uid="{00000000-0005-0000-0000-0000B10E0000}"/>
    <cellStyle name="40% - Accent6 3 2 4 2 2" xfId="7944" xr:uid="{00000000-0005-0000-0000-00002F1F0000}"/>
    <cellStyle name="40% - Accent6 3 2 4 2 2 2" xfId="17535" xr:uid="{125E8233-69D1-4627-B8E5-A7E4F659C972}"/>
    <cellStyle name="40% - Accent6 3 2 4 2 3" xfId="13314" xr:uid="{78CAB46E-8F7B-4AF9-B73E-DDCEC0307F87}"/>
    <cellStyle name="40% - Accent6 3 2 4 3" xfId="5799" xr:uid="{00000000-0005-0000-0000-0000CE160000}"/>
    <cellStyle name="40% - Accent6 3 2 4 3 2" xfId="15390" xr:uid="{EBF0870F-5EF8-444F-AC6F-B68FD99C3F4D}"/>
    <cellStyle name="40% - Accent6 3 2 4 4" xfId="11085" xr:uid="{C9BF0518-7908-4A22-B9DF-983F3B550CAF}"/>
    <cellStyle name="40% - Accent6 3 2 5" xfId="1906" xr:uid="{00000000-0005-0000-0000-000099070000}"/>
    <cellStyle name="40% - Accent6 3 2 5 2" xfId="4135" xr:uid="{00000000-0005-0000-0000-00004E100000}"/>
    <cellStyle name="40% - Accent6 3 2 5 2 2" xfId="8357" xr:uid="{00000000-0005-0000-0000-0000CC200000}"/>
    <cellStyle name="40% - Accent6 3 2 5 2 2 2" xfId="17948" xr:uid="{8809966B-33C5-4F19-9375-8B53CE2189DF}"/>
    <cellStyle name="40% - Accent6 3 2 5 2 3" xfId="13727" xr:uid="{7727AA91-3B54-4EB1-8C06-CDE6428A6761}"/>
    <cellStyle name="40% - Accent6 3 2 5 3" xfId="6212" xr:uid="{00000000-0005-0000-0000-00006B180000}"/>
    <cellStyle name="40% - Accent6 3 2 5 3 2" xfId="15803" xr:uid="{A260A13C-4695-4AA6-83B3-F10413F6E851}"/>
    <cellStyle name="40% - Accent6 3 2 5 4" xfId="11498" xr:uid="{24C6A765-9D13-4F86-BC55-7C47714F2352}"/>
    <cellStyle name="40% - Accent6 3 2 6" xfId="2319" xr:uid="{00000000-0005-0000-0000-000036090000}"/>
    <cellStyle name="40% - Accent6 3 2 6 2" xfId="6625" xr:uid="{00000000-0005-0000-0000-0000081A0000}"/>
    <cellStyle name="40% - Accent6 3 2 6 2 2" xfId="16216" xr:uid="{C2021A54-D37D-4C28-B190-971F03D5B360}"/>
    <cellStyle name="40% - Accent6 3 2 6 3" xfId="11911" xr:uid="{BF9A36C8-8F27-4EDD-9164-8C5DB37A5BC3}"/>
    <cellStyle name="40% - Accent6 3 2 7" xfId="4559" xr:uid="{00000000-0005-0000-0000-0000F6110000}"/>
    <cellStyle name="40% - Accent6 3 2 7 2" xfId="14150" xr:uid="{F6CC8D88-272B-41C8-B2A8-CC700AF07182}"/>
    <cellStyle name="40% - Accent6 3 2 8" xfId="9040" xr:uid="{00000000-0005-0000-0000-000077230000}"/>
    <cellStyle name="40% - Accent6 3 2 9" xfId="9689" xr:uid="{54A63926-4CED-4A64-BBA7-47B5D338C5DD}"/>
    <cellStyle name="40% - Accent6 3 3" xfId="624" xr:uid="{00000000-0005-0000-0000-000097020000}"/>
    <cellStyle name="40% - Accent6 3 3 2" xfId="2895" xr:uid="{00000000-0005-0000-0000-0000760B0000}"/>
    <cellStyle name="40% - Accent6 3 3 2 2" xfId="7117" xr:uid="{00000000-0005-0000-0000-0000F41B0000}"/>
    <cellStyle name="40% - Accent6 3 3 2 2 2" xfId="16708" xr:uid="{942436E1-46C5-478D-9624-079D81DB287D}"/>
    <cellStyle name="40% - Accent6 3 3 2 3" xfId="12487" xr:uid="{7C699EF8-9D74-44AF-823B-30D232320D8D}"/>
    <cellStyle name="40% - Accent6 3 3 3" xfId="4972" xr:uid="{00000000-0005-0000-0000-000093130000}"/>
    <cellStyle name="40% - Accent6 3 3 3 2" xfId="14563" xr:uid="{CE657CEB-C6F3-4CC9-A377-43B6E80C5E37}"/>
    <cellStyle name="40% - Accent6 3 3 4" xfId="9258" xr:uid="{00000000-0005-0000-0000-000051240000}"/>
    <cellStyle name="40% - Accent6 3 3 5" xfId="10217" xr:uid="{59A109CA-62BF-4FAC-ABF1-B6A264E019AE}"/>
    <cellStyle name="40% - Accent6 3 4" xfId="1077" xr:uid="{00000000-0005-0000-0000-00005C040000}"/>
    <cellStyle name="40% - Accent6 3 4 2" xfId="3308" xr:uid="{00000000-0005-0000-0000-0000130D0000}"/>
    <cellStyle name="40% - Accent6 3 4 2 2" xfId="7530" xr:uid="{00000000-0005-0000-0000-0000911D0000}"/>
    <cellStyle name="40% - Accent6 3 4 2 2 2" xfId="17121" xr:uid="{E763848D-4DE8-4099-83D6-D1D07EF49B25}"/>
    <cellStyle name="40% - Accent6 3 4 2 3" xfId="12900" xr:uid="{EC71B2C7-0CCE-48CB-8124-BBDAB19B2C0A}"/>
    <cellStyle name="40% - Accent6 3 4 3" xfId="5385" xr:uid="{00000000-0005-0000-0000-000030150000}"/>
    <cellStyle name="40% - Accent6 3 4 3 2" xfId="14976" xr:uid="{C464DF5B-D330-4D38-9E6E-658CAC5E8BB3}"/>
    <cellStyle name="40% - Accent6 3 4 4" xfId="10670" xr:uid="{690E85BC-B995-425B-8CFB-9087FDD9C94D}"/>
    <cellStyle name="40% - Accent6 3 5" xfId="1491" xr:uid="{00000000-0005-0000-0000-0000FA050000}"/>
    <cellStyle name="40% - Accent6 3 5 2" xfId="3721" xr:uid="{00000000-0005-0000-0000-0000B00E0000}"/>
    <cellStyle name="40% - Accent6 3 5 2 2" xfId="7943" xr:uid="{00000000-0005-0000-0000-00002E1F0000}"/>
    <cellStyle name="40% - Accent6 3 5 2 2 2" xfId="17534" xr:uid="{F9CE8247-5726-4898-A163-17321CDB6B2B}"/>
    <cellStyle name="40% - Accent6 3 5 2 3" xfId="13313" xr:uid="{DCA96E9F-7313-44B5-979C-20B6F7E97140}"/>
    <cellStyle name="40% - Accent6 3 5 3" xfId="5798" xr:uid="{00000000-0005-0000-0000-0000CD160000}"/>
    <cellStyle name="40% - Accent6 3 5 3 2" xfId="15389" xr:uid="{63C5381B-DED5-4377-840E-A4E354EF8C73}"/>
    <cellStyle name="40% - Accent6 3 5 4" xfId="11084" xr:uid="{E87F3482-358C-440A-A1FA-7D9EA0055D0F}"/>
    <cellStyle name="40% - Accent6 3 6" xfId="1905" xr:uid="{00000000-0005-0000-0000-000098070000}"/>
    <cellStyle name="40% - Accent6 3 6 2" xfId="4134" xr:uid="{00000000-0005-0000-0000-00004D100000}"/>
    <cellStyle name="40% - Accent6 3 6 2 2" xfId="8356" xr:uid="{00000000-0005-0000-0000-0000CB200000}"/>
    <cellStyle name="40% - Accent6 3 6 2 2 2" xfId="17947" xr:uid="{2EC5CBC3-8F4B-43F0-80B5-75B23AF78984}"/>
    <cellStyle name="40% - Accent6 3 6 2 3" xfId="13726" xr:uid="{1F65D5C2-AA0B-468E-8F96-3A9F00F28EAB}"/>
    <cellStyle name="40% - Accent6 3 6 3" xfId="6211" xr:uid="{00000000-0005-0000-0000-00006A180000}"/>
    <cellStyle name="40% - Accent6 3 6 3 2" xfId="15802" xr:uid="{7810EDAC-A865-429F-813E-96952F1734AC}"/>
    <cellStyle name="40% - Accent6 3 6 4" xfId="11497" xr:uid="{16E546A3-8C1B-40BE-B346-750513FC9D8A}"/>
    <cellStyle name="40% - Accent6 3 7" xfId="2318" xr:uid="{00000000-0005-0000-0000-000035090000}"/>
    <cellStyle name="40% - Accent6 3 7 2" xfId="6624" xr:uid="{00000000-0005-0000-0000-0000071A0000}"/>
    <cellStyle name="40% - Accent6 3 7 2 2" xfId="16215" xr:uid="{C6883A5B-2E98-4C2E-A506-CE7167D2BD05}"/>
    <cellStyle name="40% - Accent6 3 7 3" xfId="11910" xr:uid="{F18B0267-1BE1-4C38-8923-55AB2B54D1C9}"/>
    <cellStyle name="40% - Accent6 3 8" xfId="4558" xr:uid="{00000000-0005-0000-0000-0000F5110000}"/>
    <cellStyle name="40% - Accent6 3 8 2" xfId="14149" xr:uid="{FE6AB4F1-01A1-453B-8EB8-2EDF53B6BC43}"/>
    <cellStyle name="40% - Accent6 3 9" xfId="8833" xr:uid="{00000000-0005-0000-0000-0000A8220000}"/>
    <cellStyle name="40% - Accent6 4" xfId="84" xr:uid="{00000000-0005-0000-0000-000060000000}"/>
    <cellStyle name="40% - Accent6 4 2" xfId="626" xr:uid="{00000000-0005-0000-0000-000099020000}"/>
    <cellStyle name="40% - Accent6 4 2 2" xfId="2897" xr:uid="{00000000-0005-0000-0000-0000780B0000}"/>
    <cellStyle name="40% - Accent6 4 2 2 2" xfId="7119" xr:uid="{00000000-0005-0000-0000-0000F61B0000}"/>
    <cellStyle name="40% - Accent6 4 2 2 2 2" xfId="16710" xr:uid="{B2A381CB-E6F1-4A0E-9867-128B10BAEE73}"/>
    <cellStyle name="40% - Accent6 4 2 2 3" xfId="12489" xr:uid="{88DF522F-3EE9-4E73-9B26-82E6AA246472}"/>
    <cellStyle name="40% - Accent6 4 2 3" xfId="4974" xr:uid="{00000000-0005-0000-0000-000095130000}"/>
    <cellStyle name="40% - Accent6 4 2 3 2" xfId="14565" xr:uid="{D8EF00B9-9B71-4683-842B-CE9E23D08593}"/>
    <cellStyle name="40% - Accent6 4 2 4" xfId="9344" xr:uid="{00000000-0005-0000-0000-0000A7240000}"/>
    <cellStyle name="40% - Accent6 4 2 5" xfId="10219" xr:uid="{1461FBBB-3A58-4617-B14D-DF22EB1F3DE3}"/>
    <cellStyle name="40% - Accent6 4 3" xfId="1079" xr:uid="{00000000-0005-0000-0000-00005E040000}"/>
    <cellStyle name="40% - Accent6 4 3 2" xfId="3310" xr:uid="{00000000-0005-0000-0000-0000150D0000}"/>
    <cellStyle name="40% - Accent6 4 3 2 2" xfId="7532" xr:uid="{00000000-0005-0000-0000-0000931D0000}"/>
    <cellStyle name="40% - Accent6 4 3 2 2 2" xfId="17123" xr:uid="{B2E3E5D4-3082-4740-A282-C92436576720}"/>
    <cellStyle name="40% - Accent6 4 3 2 3" xfId="12902" xr:uid="{496BE06A-2F59-452C-9B49-E1840230F370}"/>
    <cellStyle name="40% - Accent6 4 3 3" xfId="5387" xr:uid="{00000000-0005-0000-0000-000032150000}"/>
    <cellStyle name="40% - Accent6 4 3 3 2" xfId="14978" xr:uid="{94B75D25-5D36-4CDF-B365-9BD4A19EACCB}"/>
    <cellStyle name="40% - Accent6 4 3 4" xfId="10672" xr:uid="{B50E7AB5-E2D2-4DB4-87D2-D257AED195C5}"/>
    <cellStyle name="40% - Accent6 4 4" xfId="1493" xr:uid="{00000000-0005-0000-0000-0000FC050000}"/>
    <cellStyle name="40% - Accent6 4 4 2" xfId="3723" xr:uid="{00000000-0005-0000-0000-0000B20E0000}"/>
    <cellStyle name="40% - Accent6 4 4 2 2" xfId="7945" xr:uid="{00000000-0005-0000-0000-0000301F0000}"/>
    <cellStyle name="40% - Accent6 4 4 2 2 2" xfId="17536" xr:uid="{C02A0E99-611B-42E9-A320-31D279CF1988}"/>
    <cellStyle name="40% - Accent6 4 4 2 3" xfId="13315" xr:uid="{B000DBA8-11C5-4648-AFDF-2E70E69A5D2B}"/>
    <cellStyle name="40% - Accent6 4 4 3" xfId="5800" xr:uid="{00000000-0005-0000-0000-0000CF160000}"/>
    <cellStyle name="40% - Accent6 4 4 3 2" xfId="15391" xr:uid="{DA2E1667-B39F-42D0-8049-80CA1F040F17}"/>
    <cellStyle name="40% - Accent6 4 4 4" xfId="11086" xr:uid="{18E5CA51-04B1-4692-986C-352DCCD86BB7}"/>
    <cellStyle name="40% - Accent6 4 5" xfId="1907" xr:uid="{00000000-0005-0000-0000-00009A070000}"/>
    <cellStyle name="40% - Accent6 4 5 2" xfId="4136" xr:uid="{00000000-0005-0000-0000-00004F100000}"/>
    <cellStyle name="40% - Accent6 4 5 2 2" xfId="8358" xr:uid="{00000000-0005-0000-0000-0000CD200000}"/>
    <cellStyle name="40% - Accent6 4 5 2 2 2" xfId="17949" xr:uid="{5E235937-A5EA-422A-8922-EB080C844EFF}"/>
    <cellStyle name="40% - Accent6 4 5 2 3" xfId="13728" xr:uid="{880AF487-F047-48E3-AF8E-079C4FADB3FB}"/>
    <cellStyle name="40% - Accent6 4 5 3" xfId="6213" xr:uid="{00000000-0005-0000-0000-00006C180000}"/>
    <cellStyle name="40% - Accent6 4 5 3 2" xfId="15804" xr:uid="{D4A2B37F-20F7-413B-8248-490299448872}"/>
    <cellStyle name="40% - Accent6 4 5 4" xfId="11499" xr:uid="{2A7F338B-7F6D-4F35-AEAF-D456DCC23AD2}"/>
    <cellStyle name="40% - Accent6 4 6" xfId="2320" xr:uid="{00000000-0005-0000-0000-000037090000}"/>
    <cellStyle name="40% - Accent6 4 6 2" xfId="6626" xr:uid="{00000000-0005-0000-0000-0000091A0000}"/>
    <cellStyle name="40% - Accent6 4 6 2 2" xfId="16217" xr:uid="{0713D035-B6F3-4343-BF64-0B1448394AF7}"/>
    <cellStyle name="40% - Accent6 4 6 3" xfId="11912" xr:uid="{62698634-A344-437D-8137-5ECA9E43BD01}"/>
    <cellStyle name="40% - Accent6 4 7" xfId="4560" xr:uid="{00000000-0005-0000-0000-0000F7110000}"/>
    <cellStyle name="40% - Accent6 4 7 2" xfId="14151" xr:uid="{C2578A34-F19A-4D60-9DD6-1B3DAD342DC4}"/>
    <cellStyle name="40% - Accent6 4 8" xfId="8919" xr:uid="{00000000-0005-0000-0000-0000FE220000}"/>
    <cellStyle name="40% - Accent6 4 9" xfId="9690" xr:uid="{FB20CC1F-5653-468A-A4EB-8ECBD5DB898D}"/>
    <cellStyle name="40% - Accent6 5" xfId="619" xr:uid="{00000000-0005-0000-0000-000092020000}"/>
    <cellStyle name="40% - Accent6 5 2" xfId="2890" xr:uid="{00000000-0005-0000-0000-0000710B0000}"/>
    <cellStyle name="40% - Accent6 5 2 2" xfId="7112" xr:uid="{00000000-0005-0000-0000-0000EF1B0000}"/>
    <cellStyle name="40% - Accent6 5 2 2 2" xfId="16703" xr:uid="{1F8421E5-350C-49C1-98AB-36B6531D9794}"/>
    <cellStyle name="40% - Accent6 5 2 3" xfId="12482" xr:uid="{06C28B5D-BD45-4F90-BD92-A4601D0CE8E9}"/>
    <cellStyle name="40% - Accent6 5 3" xfId="4967" xr:uid="{00000000-0005-0000-0000-00008E130000}"/>
    <cellStyle name="40% - Accent6 5 3 2" xfId="14558" xr:uid="{F7C8482E-2491-4CC1-B946-A6413E035713}"/>
    <cellStyle name="40% - Accent6 5 4" xfId="9153" xr:uid="{00000000-0005-0000-0000-0000E8230000}"/>
    <cellStyle name="40% - Accent6 5 5" xfId="10212" xr:uid="{682AEDDB-5FE6-41AF-91A8-E85B5494D081}"/>
    <cellStyle name="40% - Accent6 6" xfId="1072" xr:uid="{00000000-0005-0000-0000-000057040000}"/>
    <cellStyle name="40% - Accent6 6 2" xfId="3303" xr:uid="{00000000-0005-0000-0000-00000E0D0000}"/>
    <cellStyle name="40% - Accent6 6 2 2" xfId="7525" xr:uid="{00000000-0005-0000-0000-00008C1D0000}"/>
    <cellStyle name="40% - Accent6 6 2 2 2" xfId="17116" xr:uid="{42B5E13B-02D9-4B81-8C2D-E581E7FCAECF}"/>
    <cellStyle name="40% - Accent6 6 2 3" xfId="12895" xr:uid="{78B6205B-689A-4CF3-A787-CACE93391CBF}"/>
    <cellStyle name="40% - Accent6 6 3" xfId="5380" xr:uid="{00000000-0005-0000-0000-00002B150000}"/>
    <cellStyle name="40% - Accent6 6 3 2" xfId="14971" xr:uid="{D91539F8-4539-4DE0-832D-D6743F991430}"/>
    <cellStyle name="40% - Accent6 6 4" xfId="10665" xr:uid="{AFD71033-3346-4601-AC30-A3334F359CCB}"/>
    <cellStyle name="40% - Accent6 7" xfId="1486" xr:uid="{00000000-0005-0000-0000-0000F5050000}"/>
    <cellStyle name="40% - Accent6 7 2" xfId="3716" xr:uid="{00000000-0005-0000-0000-0000AB0E0000}"/>
    <cellStyle name="40% - Accent6 7 2 2" xfId="7938" xr:uid="{00000000-0005-0000-0000-0000291F0000}"/>
    <cellStyle name="40% - Accent6 7 2 2 2" xfId="17529" xr:uid="{347B2EEC-3047-4BDE-AEEB-119ADDDAA40E}"/>
    <cellStyle name="40% - Accent6 7 2 3" xfId="13308" xr:uid="{3631C675-0CC6-4E99-9D59-870BFCC3E30F}"/>
    <cellStyle name="40% - Accent6 7 3" xfId="5793" xr:uid="{00000000-0005-0000-0000-0000C8160000}"/>
    <cellStyle name="40% - Accent6 7 3 2" xfId="15384" xr:uid="{D55FE788-3F79-4518-97D9-8A04F0627D59}"/>
    <cellStyle name="40% - Accent6 7 4" xfId="11079" xr:uid="{9B18618B-BD2A-4E9E-8750-973F418E77F9}"/>
    <cellStyle name="40% - Accent6 8" xfId="1900" xr:uid="{00000000-0005-0000-0000-000093070000}"/>
    <cellStyle name="40% - Accent6 8 2" xfId="4129" xr:uid="{00000000-0005-0000-0000-000048100000}"/>
    <cellStyle name="40% - Accent6 8 2 2" xfId="8351" xr:uid="{00000000-0005-0000-0000-0000C6200000}"/>
    <cellStyle name="40% - Accent6 8 2 2 2" xfId="17942" xr:uid="{4BA7C098-DC9F-4D11-B286-1EE52F7F05BC}"/>
    <cellStyle name="40% - Accent6 8 2 3" xfId="13721" xr:uid="{DCB4FFDB-1326-44F3-9043-CF0D8EFF7B7F}"/>
    <cellStyle name="40% - Accent6 8 3" xfId="6206" xr:uid="{00000000-0005-0000-0000-000065180000}"/>
    <cellStyle name="40% - Accent6 8 3 2" xfId="15797" xr:uid="{19FCCEB7-D70F-4C11-8C26-E1FBB3B8D76C}"/>
    <cellStyle name="40% - Accent6 8 4" xfId="11492" xr:uid="{F39BBA2D-8051-43BA-823C-BB28ED2BDD67}"/>
    <cellStyle name="40% - Accent6 9" xfId="2313" xr:uid="{00000000-0005-0000-0000-000030090000}"/>
    <cellStyle name="40% - Accent6 9 2" xfId="6619" xr:uid="{00000000-0005-0000-0000-0000021A0000}"/>
    <cellStyle name="40% - Accent6 9 2 2" xfId="16210" xr:uid="{F8E2916D-05A7-4DE1-BC84-9D2991563B99}"/>
    <cellStyle name="40% - Accent6 9 3" xfId="11905" xr:uid="{1B6DF262-8898-4F76-B277-8D578FF46C11}"/>
    <cellStyle name="60% - Accent1 2" xfId="85" xr:uid="{00000000-0005-0000-0000-000062000000}"/>
    <cellStyle name="60% - Accent1 2 2" xfId="9692" xr:uid="{7122FF39-4D43-4BCA-9DA8-2CEF1289AE80}"/>
    <cellStyle name="60% - Accent1 3" xfId="9691" xr:uid="{46EEC89B-2556-4ED3-83BF-4969C6648AD9}"/>
    <cellStyle name="60% - Accent2 2" xfId="9693" xr:uid="{B02DB1D4-710D-4460-9514-4C13386A12EE}"/>
    <cellStyle name="60% - Accent3 2" xfId="86" xr:uid="{00000000-0005-0000-0000-000065000000}"/>
    <cellStyle name="60% - Accent3 2 2" xfId="9695" xr:uid="{26983947-3CC9-48A7-A2A7-70873FBE7CB9}"/>
    <cellStyle name="60% - Accent3 3" xfId="9694" xr:uid="{3BD9F356-A390-4585-A48E-86AC5E573869}"/>
    <cellStyle name="60% - Accent4 2" xfId="87" xr:uid="{00000000-0005-0000-0000-000067000000}"/>
    <cellStyle name="60% - Accent4 2 2" xfId="9697" xr:uid="{20A4E54D-B821-4849-8EF2-3A493C2FFD29}"/>
    <cellStyle name="60% - Accent4 3" xfId="9696" xr:uid="{89F5FFD4-4409-4BA6-B0D6-3F0AD7F2504B}"/>
    <cellStyle name="60% - Accent5 2" xfId="9698" xr:uid="{EED936DC-EFC2-4C0A-96B6-5EC4F324AF7F}"/>
    <cellStyle name="60% - Accent6 2" xfId="88" xr:uid="{00000000-0005-0000-0000-00006A000000}"/>
    <cellStyle name="60% - Accent6 2 2" xfId="9700" xr:uid="{E7ADF4D8-AD4B-488E-9E2F-223542FD16C5}"/>
    <cellStyle name="60% - Accent6 3" xfId="9699" xr:uid="{6A490D79-30A0-4F55-879D-0BA9FBD25FAD}"/>
    <cellStyle name="Accent1" xfId="9588" builtinId="29" customBuiltin="1"/>
    <cellStyle name="Accent1 2" xfId="89" xr:uid="{00000000-0005-0000-0000-00006C000000}"/>
    <cellStyle name="Accent1 2 2" xfId="9701" xr:uid="{9C8D86C9-74A9-40AF-9266-A56F220BCFA6}"/>
    <cellStyle name="Accent2" xfId="9591" builtinId="33" customBuiltin="1"/>
    <cellStyle name="Accent2 2" xfId="90" xr:uid="{00000000-0005-0000-0000-00006E000000}"/>
    <cellStyle name="Accent2 2 2" xfId="9702" xr:uid="{5A82F309-3F25-40AB-B61F-8D33FBDB6C8F}"/>
    <cellStyle name="Accent3" xfId="9594" builtinId="37" customBuiltin="1"/>
    <cellStyle name="Accent3 2" xfId="91" xr:uid="{00000000-0005-0000-0000-000070000000}"/>
    <cellStyle name="Accent3 2 2" xfId="9703" xr:uid="{CF7BE1AD-71B3-4F58-93E3-A0C99E2BE3D4}"/>
    <cellStyle name="Accent4" xfId="9597" builtinId="41" customBuiltin="1"/>
    <cellStyle name="Accent4 2" xfId="92" xr:uid="{00000000-0005-0000-0000-000072000000}"/>
    <cellStyle name="Accent4 2 2" xfId="9704" xr:uid="{4019C482-728B-4DAC-876B-31CFFFAF0C7C}"/>
    <cellStyle name="Accent5" xfId="9600" builtinId="45" customBuiltin="1"/>
    <cellStyle name="Accent6" xfId="9603" builtinId="49" customBuiltin="1"/>
    <cellStyle name="Bad" xfId="9579" builtinId="27" customBuiltin="1"/>
    <cellStyle name="Bad 2" xfId="93" xr:uid="{00000000-0005-0000-0000-000076000000}"/>
    <cellStyle name="Bad 2 2" xfId="9705" xr:uid="{13F8673F-7C39-4970-B361-DB446BEB3368}"/>
    <cellStyle name="Calculation" xfId="9582" builtinId="22" customBuiltin="1"/>
    <cellStyle name="Calculation 2" xfId="94" xr:uid="{00000000-0005-0000-0000-000078000000}"/>
    <cellStyle name="Calculation 2 2" xfId="9706" xr:uid="{2B4C70E3-8A06-478B-8CC3-4802EA2EECAA}"/>
    <cellStyle name="Check Cell" xfId="9584" builtinId="23" customBuiltin="1"/>
    <cellStyle name="Comma" xfId="4464" builtinId="3"/>
    <cellStyle name="Comma 2" xfId="95" xr:uid="{00000000-0005-0000-0000-00007A000000}"/>
    <cellStyle name="Comma 2 2" xfId="96" xr:uid="{00000000-0005-0000-0000-00007B000000}"/>
    <cellStyle name="Comma 2 2 2" xfId="9708" xr:uid="{B2A37BD3-F147-4373-A67B-C0BF169E00A9}"/>
    <cellStyle name="Comma 2 3" xfId="9707" xr:uid="{33B0D496-6658-49B3-A3B5-817C0F01DDA1}"/>
    <cellStyle name="Comma 3" xfId="97" xr:uid="{00000000-0005-0000-0000-00007C000000}"/>
    <cellStyle name="Comma 3 2" xfId="9709" xr:uid="{1EECAC45-3887-42D8-A28E-47DBB431C6BA}"/>
    <cellStyle name="Comma 4" xfId="98" xr:uid="{00000000-0005-0000-0000-00007D000000}"/>
    <cellStyle name="Comma 4 10" xfId="9710" xr:uid="{74D1D57B-01C5-453A-B8E9-E54B718FC975}"/>
    <cellStyle name="Comma 4 2" xfId="99" xr:uid="{00000000-0005-0000-0000-00007E000000}"/>
    <cellStyle name="Comma 4 2 2" xfId="100" xr:uid="{00000000-0005-0000-0000-00007F000000}"/>
    <cellStyle name="Comma 4 2 2 2" xfId="101" xr:uid="{00000000-0005-0000-0000-000080000000}"/>
    <cellStyle name="Comma 4 2 2 2 10" xfId="2721" xr:uid="{00000000-0005-0000-0000-0000C80A0000}"/>
    <cellStyle name="Comma 4 2 2 2 10 2" xfId="6944" xr:uid="{00000000-0005-0000-0000-0000471B0000}"/>
    <cellStyle name="Comma 4 2 2 2 10 2 2" xfId="16535" xr:uid="{32EB287C-E798-4051-934B-F9C08DDD5F24}"/>
    <cellStyle name="Comma 4 2 2 2 10 3" xfId="12313" xr:uid="{AAFC542E-0DA6-482D-8537-85D927C5C846}"/>
    <cellStyle name="Comma 4 2 2 2 11" xfId="4561" xr:uid="{00000000-0005-0000-0000-0000F8110000}"/>
    <cellStyle name="Comma 4 2 2 2 11 2" xfId="14152" xr:uid="{9E784F3C-BCF8-44CF-9E70-BEE3BDFFF232}"/>
    <cellStyle name="Comma 4 2 2 2 12" xfId="8767" xr:uid="{00000000-0005-0000-0000-000066220000}"/>
    <cellStyle name="Comma 4 2 2 2 13" xfId="9713" xr:uid="{2D7ACE1A-54D9-4038-B2F7-563C320C721E}"/>
    <cellStyle name="Comma 4 2 2 2 2" xfId="102" xr:uid="{00000000-0005-0000-0000-000081000000}"/>
    <cellStyle name="Comma 4 2 2 2 2 10" xfId="4562" xr:uid="{00000000-0005-0000-0000-0000F9110000}"/>
    <cellStyle name="Comma 4 2 2 2 2 10 2" xfId="14153" xr:uid="{F6F7B16D-8D94-4577-97FE-4CD40B1E8A94}"/>
    <cellStyle name="Comma 4 2 2 2 2 11" xfId="8870" xr:uid="{00000000-0005-0000-0000-0000CD220000}"/>
    <cellStyle name="Comma 4 2 2 2 2 12" xfId="9714" xr:uid="{4F33C9F5-AAD2-4740-87CB-2868C72B40DB}"/>
    <cellStyle name="Comma 4 2 2 2 2 2" xfId="103" xr:uid="{00000000-0005-0000-0000-000082000000}"/>
    <cellStyle name="Comma 4 2 2 2 2 2 10" xfId="9077" xr:uid="{00000000-0005-0000-0000-00009C230000}"/>
    <cellStyle name="Comma 4 2 2 2 2 2 11" xfId="9715" xr:uid="{8744F0F2-C41A-49EA-A108-B613CA01372D}"/>
    <cellStyle name="Comma 4 2 2 2 2 2 2" xfId="629" xr:uid="{00000000-0005-0000-0000-00009C020000}"/>
    <cellStyle name="Comma 4 2 2 2 2 2 2 2" xfId="2900" xr:uid="{00000000-0005-0000-0000-00007B0B0000}"/>
    <cellStyle name="Comma 4 2 2 2 2 2 2 2 2" xfId="7122" xr:uid="{00000000-0005-0000-0000-0000F91B0000}"/>
    <cellStyle name="Comma 4 2 2 2 2 2 2 2 2 2" xfId="16713" xr:uid="{5CA067E6-64BC-481A-BF6D-6277BBD580B2}"/>
    <cellStyle name="Comma 4 2 2 2 2 2 2 2 3" xfId="12492" xr:uid="{F4DEB0CA-6CC9-444D-AAA6-B47D95E93F6A}"/>
    <cellStyle name="Comma 4 2 2 2 2 2 2 3" xfId="4977" xr:uid="{00000000-0005-0000-0000-000098130000}"/>
    <cellStyle name="Comma 4 2 2 2 2 2 2 3 2" xfId="14568" xr:uid="{71939307-EC01-49A6-B597-A90891F4EA02}"/>
    <cellStyle name="Comma 4 2 2 2 2 2 2 4" xfId="9502" xr:uid="{00000000-0005-0000-0000-000045250000}"/>
    <cellStyle name="Comma 4 2 2 2 2 2 2 5" xfId="10222" xr:uid="{5811F5EC-3286-4F11-B558-01E1D778D41F}"/>
    <cellStyle name="Comma 4 2 2 2 2 2 3" xfId="1082" xr:uid="{00000000-0005-0000-0000-000061040000}"/>
    <cellStyle name="Comma 4 2 2 2 2 2 3 2" xfId="3313" xr:uid="{00000000-0005-0000-0000-0000180D0000}"/>
    <cellStyle name="Comma 4 2 2 2 2 2 3 2 2" xfId="7535" xr:uid="{00000000-0005-0000-0000-0000961D0000}"/>
    <cellStyle name="Comma 4 2 2 2 2 2 3 2 2 2" xfId="17126" xr:uid="{9F2710F1-EA58-43D1-B269-86280B4E7E5D}"/>
    <cellStyle name="Comma 4 2 2 2 2 2 3 2 3" xfId="12905" xr:uid="{47C72C50-980F-4081-AE8E-16015100768F}"/>
    <cellStyle name="Comma 4 2 2 2 2 2 3 3" xfId="5390" xr:uid="{00000000-0005-0000-0000-000035150000}"/>
    <cellStyle name="Comma 4 2 2 2 2 2 3 3 2" xfId="14981" xr:uid="{689576E5-F3E3-4498-9D99-11C538636CA2}"/>
    <cellStyle name="Comma 4 2 2 2 2 2 3 4" xfId="10675" xr:uid="{F2FAEC2F-39A0-40C7-A0E7-763054D48595}"/>
    <cellStyle name="Comma 4 2 2 2 2 2 4" xfId="1496" xr:uid="{00000000-0005-0000-0000-0000FF050000}"/>
    <cellStyle name="Comma 4 2 2 2 2 2 4 2" xfId="3726" xr:uid="{00000000-0005-0000-0000-0000B50E0000}"/>
    <cellStyle name="Comma 4 2 2 2 2 2 4 2 2" xfId="7948" xr:uid="{00000000-0005-0000-0000-0000331F0000}"/>
    <cellStyle name="Comma 4 2 2 2 2 2 4 2 2 2" xfId="17539" xr:uid="{DBB7BBC7-238E-48D7-8764-2F8D548897BA}"/>
    <cellStyle name="Comma 4 2 2 2 2 2 4 2 3" xfId="13318" xr:uid="{1C2B68E0-0CB5-424A-A894-0391B0E94B50}"/>
    <cellStyle name="Comma 4 2 2 2 2 2 4 3" xfId="5803" xr:uid="{00000000-0005-0000-0000-0000D2160000}"/>
    <cellStyle name="Comma 4 2 2 2 2 2 4 3 2" xfId="15394" xr:uid="{49AE49A3-4D08-4507-994C-CE9EFECC5D63}"/>
    <cellStyle name="Comma 4 2 2 2 2 2 4 4" xfId="11089" xr:uid="{C648E1DF-6B4E-4522-A3C9-F9FCC9BD456A}"/>
    <cellStyle name="Comma 4 2 2 2 2 2 5" xfId="1910" xr:uid="{00000000-0005-0000-0000-00009D070000}"/>
    <cellStyle name="Comma 4 2 2 2 2 2 5 2" xfId="4139" xr:uid="{00000000-0005-0000-0000-000052100000}"/>
    <cellStyle name="Comma 4 2 2 2 2 2 5 2 2" xfId="8361" xr:uid="{00000000-0005-0000-0000-0000D0200000}"/>
    <cellStyle name="Comma 4 2 2 2 2 2 5 2 2 2" xfId="17952" xr:uid="{0567625A-6727-4078-80AD-E468FE4DCD25}"/>
    <cellStyle name="Comma 4 2 2 2 2 2 5 2 3" xfId="13731" xr:uid="{3C191E4F-DD9D-44A5-8E35-90E51C55ECCB}"/>
    <cellStyle name="Comma 4 2 2 2 2 2 5 3" xfId="6216" xr:uid="{00000000-0005-0000-0000-00006F180000}"/>
    <cellStyle name="Comma 4 2 2 2 2 2 5 3 2" xfId="15807" xr:uid="{5A322585-FD4B-44A6-8F43-C5A860263435}"/>
    <cellStyle name="Comma 4 2 2 2 2 2 5 4" xfId="11502" xr:uid="{716108D3-020A-49BE-BA8D-FC7727AD49A0}"/>
    <cellStyle name="Comma 4 2 2 2 2 2 6" xfId="2345" xr:uid="{00000000-0005-0000-0000-000050090000}"/>
    <cellStyle name="Comma 4 2 2 2 2 2 6 2" xfId="6629" xr:uid="{00000000-0005-0000-0000-00000C1A0000}"/>
    <cellStyle name="Comma 4 2 2 2 2 2 6 2 2" xfId="16220" xr:uid="{65319605-6A4E-49A3-B268-479C393C3D6B}"/>
    <cellStyle name="Comma 4 2 2 2 2 2 6 3" xfId="11937" xr:uid="{775E59B3-6F20-4240-A452-403DC6173890}"/>
    <cellStyle name="Comma 4 2 2 2 2 2 7" xfId="2340" xr:uid="{00000000-0005-0000-0000-00004B090000}"/>
    <cellStyle name="Comma 4 2 2 2 2 2 7 2" xfId="11932" xr:uid="{2135939C-DCFC-4E82-BD7E-02CB99C2438F}"/>
    <cellStyle name="Comma 4 2 2 2 2 2 8" xfId="2723" xr:uid="{00000000-0005-0000-0000-0000CA0A0000}"/>
    <cellStyle name="Comma 4 2 2 2 2 2 8 2" xfId="6946" xr:uid="{00000000-0005-0000-0000-0000491B0000}"/>
    <cellStyle name="Comma 4 2 2 2 2 2 8 2 2" xfId="16537" xr:uid="{8AF9091B-54D6-4AEC-8F92-8C88B1407E19}"/>
    <cellStyle name="Comma 4 2 2 2 2 2 8 3" xfId="12315" xr:uid="{C6CA833E-DEC6-4500-8CFF-28C2BB673E2A}"/>
    <cellStyle name="Comma 4 2 2 2 2 2 9" xfId="4563" xr:uid="{00000000-0005-0000-0000-0000FA110000}"/>
    <cellStyle name="Comma 4 2 2 2 2 2 9 2" xfId="14154" xr:uid="{CA3CBEF0-BBD6-4D3B-8D75-A8E97E51F1A1}"/>
    <cellStyle name="Comma 4 2 2 2 2 3" xfId="628" xr:uid="{00000000-0005-0000-0000-00009B020000}"/>
    <cellStyle name="Comma 4 2 2 2 2 3 2" xfId="2899" xr:uid="{00000000-0005-0000-0000-00007A0B0000}"/>
    <cellStyle name="Comma 4 2 2 2 2 3 2 2" xfId="7121" xr:uid="{00000000-0005-0000-0000-0000F81B0000}"/>
    <cellStyle name="Comma 4 2 2 2 2 3 2 2 2" xfId="16712" xr:uid="{0CD6D9AE-CE06-406B-8695-DF2D303FF5F7}"/>
    <cellStyle name="Comma 4 2 2 2 2 3 2 3" xfId="12491" xr:uid="{DB6613DA-96EC-4B4A-857D-747C39E07525}"/>
    <cellStyle name="Comma 4 2 2 2 2 3 3" xfId="4976" xr:uid="{00000000-0005-0000-0000-000097130000}"/>
    <cellStyle name="Comma 4 2 2 2 2 3 3 2" xfId="14567" xr:uid="{F2AD212A-AB6C-4DBC-8B69-3F4239A0D890}"/>
    <cellStyle name="Comma 4 2 2 2 2 3 4" xfId="9295" xr:uid="{00000000-0005-0000-0000-000076240000}"/>
    <cellStyle name="Comma 4 2 2 2 2 3 5" xfId="10221" xr:uid="{35CDF39B-B53E-4391-98E0-90BECFAD3B8B}"/>
    <cellStyle name="Comma 4 2 2 2 2 4" xfId="1081" xr:uid="{00000000-0005-0000-0000-000060040000}"/>
    <cellStyle name="Comma 4 2 2 2 2 4 2" xfId="3312" xr:uid="{00000000-0005-0000-0000-0000170D0000}"/>
    <cellStyle name="Comma 4 2 2 2 2 4 2 2" xfId="7534" xr:uid="{00000000-0005-0000-0000-0000951D0000}"/>
    <cellStyle name="Comma 4 2 2 2 2 4 2 2 2" xfId="17125" xr:uid="{89065406-1295-42EC-B9CE-28FB42F5B490}"/>
    <cellStyle name="Comma 4 2 2 2 2 4 2 3" xfId="12904" xr:uid="{21252682-5D07-41A0-8C47-97213EA981EF}"/>
    <cellStyle name="Comma 4 2 2 2 2 4 3" xfId="5389" xr:uid="{00000000-0005-0000-0000-000034150000}"/>
    <cellStyle name="Comma 4 2 2 2 2 4 3 2" xfId="14980" xr:uid="{3EDBF136-AE27-4E59-AD18-2C53C7BEBDBB}"/>
    <cellStyle name="Comma 4 2 2 2 2 4 4" xfId="10674" xr:uid="{6511CF5F-9C01-4A02-84BE-C188B4D3F496}"/>
    <cellStyle name="Comma 4 2 2 2 2 5" xfId="1495" xr:uid="{00000000-0005-0000-0000-0000FE050000}"/>
    <cellStyle name="Comma 4 2 2 2 2 5 2" xfId="3725" xr:uid="{00000000-0005-0000-0000-0000B40E0000}"/>
    <cellStyle name="Comma 4 2 2 2 2 5 2 2" xfId="7947" xr:uid="{00000000-0005-0000-0000-0000321F0000}"/>
    <cellStyle name="Comma 4 2 2 2 2 5 2 2 2" xfId="17538" xr:uid="{F573AF1C-CE05-439E-9C5F-F6407AC258DE}"/>
    <cellStyle name="Comma 4 2 2 2 2 5 2 3" xfId="13317" xr:uid="{799CD2B6-571B-4D61-A10C-2D1B2E4093BE}"/>
    <cellStyle name="Comma 4 2 2 2 2 5 3" xfId="5802" xr:uid="{00000000-0005-0000-0000-0000D1160000}"/>
    <cellStyle name="Comma 4 2 2 2 2 5 3 2" xfId="15393" xr:uid="{14C6779E-A491-4502-9C9C-66DB2225DAFE}"/>
    <cellStyle name="Comma 4 2 2 2 2 5 4" xfId="11088" xr:uid="{F8AC9CF9-A988-427B-8B40-85BF4678BEE6}"/>
    <cellStyle name="Comma 4 2 2 2 2 6" xfId="1909" xr:uid="{00000000-0005-0000-0000-00009C070000}"/>
    <cellStyle name="Comma 4 2 2 2 2 6 2" xfId="4138" xr:uid="{00000000-0005-0000-0000-000051100000}"/>
    <cellStyle name="Comma 4 2 2 2 2 6 2 2" xfId="8360" xr:uid="{00000000-0005-0000-0000-0000CF200000}"/>
    <cellStyle name="Comma 4 2 2 2 2 6 2 2 2" xfId="17951" xr:uid="{46AFE7B1-F268-458C-BC69-8946111E0C61}"/>
    <cellStyle name="Comma 4 2 2 2 2 6 2 3" xfId="13730" xr:uid="{2999EAB0-07AA-4610-AD98-F82EBC30DEB4}"/>
    <cellStyle name="Comma 4 2 2 2 2 6 3" xfId="6215" xr:uid="{00000000-0005-0000-0000-00006E180000}"/>
    <cellStyle name="Comma 4 2 2 2 2 6 3 2" xfId="15806" xr:uid="{B8F25BB4-E579-400F-884F-8B5216682EC7}"/>
    <cellStyle name="Comma 4 2 2 2 2 6 4" xfId="11501" xr:uid="{7C3CC2FF-A764-472D-A82F-13291BD2E87B}"/>
    <cellStyle name="Comma 4 2 2 2 2 7" xfId="2344" xr:uid="{00000000-0005-0000-0000-00004F090000}"/>
    <cellStyle name="Comma 4 2 2 2 2 7 2" xfId="6628" xr:uid="{00000000-0005-0000-0000-00000B1A0000}"/>
    <cellStyle name="Comma 4 2 2 2 2 7 2 2" xfId="16219" xr:uid="{1377973E-427C-431F-976D-874F6639BA1B}"/>
    <cellStyle name="Comma 4 2 2 2 2 7 3" xfId="11936" xr:uid="{12FDD737-D7A6-497A-8F30-4925D87D8D73}"/>
    <cellStyle name="Comma 4 2 2 2 2 8" xfId="2341" xr:uid="{00000000-0005-0000-0000-00004C090000}"/>
    <cellStyle name="Comma 4 2 2 2 2 8 2" xfId="11933" xr:uid="{B7287439-D6EA-4224-BB75-904A4505AF19}"/>
    <cellStyle name="Comma 4 2 2 2 2 9" xfId="2722" xr:uid="{00000000-0005-0000-0000-0000C90A0000}"/>
    <cellStyle name="Comma 4 2 2 2 2 9 2" xfId="6945" xr:uid="{00000000-0005-0000-0000-0000481B0000}"/>
    <cellStyle name="Comma 4 2 2 2 2 9 2 2" xfId="16536" xr:uid="{A5B39F68-A956-43D6-946D-ADCD0A3D3AC0}"/>
    <cellStyle name="Comma 4 2 2 2 2 9 3" xfId="12314" xr:uid="{C93C8003-6A24-4CC2-9E2F-6F1C4DDBE81F}"/>
    <cellStyle name="Comma 4 2 2 2 3" xfId="104" xr:uid="{00000000-0005-0000-0000-000083000000}"/>
    <cellStyle name="Comma 4 2 2 2 3 10" xfId="8974" xr:uid="{00000000-0005-0000-0000-000035230000}"/>
    <cellStyle name="Comma 4 2 2 2 3 11" xfId="9716" xr:uid="{6A651E38-9C95-4BAA-9FC7-8D51B039F1CA}"/>
    <cellStyle name="Comma 4 2 2 2 3 2" xfId="630" xr:uid="{00000000-0005-0000-0000-00009D020000}"/>
    <cellStyle name="Comma 4 2 2 2 3 2 2" xfId="2901" xr:uid="{00000000-0005-0000-0000-00007C0B0000}"/>
    <cellStyle name="Comma 4 2 2 2 3 2 2 2" xfId="7123" xr:uid="{00000000-0005-0000-0000-0000FA1B0000}"/>
    <cellStyle name="Comma 4 2 2 2 3 2 2 2 2" xfId="16714" xr:uid="{ADCE467D-08A8-4633-8A76-07C76F323350}"/>
    <cellStyle name="Comma 4 2 2 2 3 2 2 3" xfId="12493" xr:uid="{F6C77A99-ACB1-4481-9006-530FFD7B68F7}"/>
    <cellStyle name="Comma 4 2 2 2 3 2 3" xfId="4978" xr:uid="{00000000-0005-0000-0000-000099130000}"/>
    <cellStyle name="Comma 4 2 2 2 3 2 3 2" xfId="14569" xr:uid="{F29E11F5-F364-4BFC-A355-12CD347E5C4A}"/>
    <cellStyle name="Comma 4 2 2 2 3 2 4" xfId="9399" xr:uid="{00000000-0005-0000-0000-0000DE240000}"/>
    <cellStyle name="Comma 4 2 2 2 3 2 5" xfId="10223" xr:uid="{EC7089D3-6080-4D4F-AFB7-99A21441D625}"/>
    <cellStyle name="Comma 4 2 2 2 3 3" xfId="1083" xr:uid="{00000000-0005-0000-0000-000062040000}"/>
    <cellStyle name="Comma 4 2 2 2 3 3 2" xfId="3314" xr:uid="{00000000-0005-0000-0000-0000190D0000}"/>
    <cellStyle name="Comma 4 2 2 2 3 3 2 2" xfId="7536" xr:uid="{00000000-0005-0000-0000-0000971D0000}"/>
    <cellStyle name="Comma 4 2 2 2 3 3 2 2 2" xfId="17127" xr:uid="{F0F12339-30FC-40B1-99D0-CD278681A005}"/>
    <cellStyle name="Comma 4 2 2 2 3 3 2 3" xfId="12906" xr:uid="{F30708EA-A4A2-42F8-B8C1-18C5330C080B}"/>
    <cellStyle name="Comma 4 2 2 2 3 3 3" xfId="5391" xr:uid="{00000000-0005-0000-0000-000036150000}"/>
    <cellStyle name="Comma 4 2 2 2 3 3 3 2" xfId="14982" xr:uid="{DF866D61-2B9A-4CFB-9E3A-42F688A2AE67}"/>
    <cellStyle name="Comma 4 2 2 2 3 3 4" xfId="10676" xr:uid="{BD383839-9DDD-4D06-85D0-C4E9876753B5}"/>
    <cellStyle name="Comma 4 2 2 2 3 4" xfId="1497" xr:uid="{00000000-0005-0000-0000-000000060000}"/>
    <cellStyle name="Comma 4 2 2 2 3 4 2" xfId="3727" xr:uid="{00000000-0005-0000-0000-0000B60E0000}"/>
    <cellStyle name="Comma 4 2 2 2 3 4 2 2" xfId="7949" xr:uid="{00000000-0005-0000-0000-0000341F0000}"/>
    <cellStyle name="Comma 4 2 2 2 3 4 2 2 2" xfId="17540" xr:uid="{F857CD1B-D4CC-49F3-BCFF-B1092BEB335C}"/>
    <cellStyle name="Comma 4 2 2 2 3 4 2 3" xfId="13319" xr:uid="{CA0D28D2-3191-4772-A2E1-74E53979EE24}"/>
    <cellStyle name="Comma 4 2 2 2 3 4 3" xfId="5804" xr:uid="{00000000-0005-0000-0000-0000D3160000}"/>
    <cellStyle name="Comma 4 2 2 2 3 4 3 2" xfId="15395" xr:uid="{45B8AC32-D299-4957-8304-49A13D4B73B1}"/>
    <cellStyle name="Comma 4 2 2 2 3 4 4" xfId="11090" xr:uid="{FEA9BCA0-157A-4F42-947E-E3B3CC85BEAE}"/>
    <cellStyle name="Comma 4 2 2 2 3 5" xfId="1911" xr:uid="{00000000-0005-0000-0000-00009E070000}"/>
    <cellStyle name="Comma 4 2 2 2 3 5 2" xfId="4140" xr:uid="{00000000-0005-0000-0000-000053100000}"/>
    <cellStyle name="Comma 4 2 2 2 3 5 2 2" xfId="8362" xr:uid="{00000000-0005-0000-0000-0000D1200000}"/>
    <cellStyle name="Comma 4 2 2 2 3 5 2 2 2" xfId="17953" xr:uid="{487C72BF-1EF5-4536-B152-52E920908AE3}"/>
    <cellStyle name="Comma 4 2 2 2 3 5 2 3" xfId="13732" xr:uid="{A153B134-9F92-4C8B-B608-52FE401D79B5}"/>
    <cellStyle name="Comma 4 2 2 2 3 5 3" xfId="6217" xr:uid="{00000000-0005-0000-0000-000070180000}"/>
    <cellStyle name="Comma 4 2 2 2 3 5 3 2" xfId="15808" xr:uid="{A9C08610-5B80-4C7F-8B3C-029B3F3F6AB4}"/>
    <cellStyle name="Comma 4 2 2 2 3 5 4" xfId="11503" xr:uid="{7B0E2B97-830B-4B79-9442-7AA5466EADD1}"/>
    <cellStyle name="Comma 4 2 2 2 3 6" xfId="2346" xr:uid="{00000000-0005-0000-0000-000051090000}"/>
    <cellStyle name="Comma 4 2 2 2 3 6 2" xfId="6630" xr:uid="{00000000-0005-0000-0000-00000D1A0000}"/>
    <cellStyle name="Comma 4 2 2 2 3 6 2 2" xfId="16221" xr:uid="{090011B3-C8A2-4AD9-8E9F-9D6F596505AA}"/>
    <cellStyle name="Comma 4 2 2 2 3 6 3" xfId="11938" xr:uid="{B3FE7C3A-7CD7-447C-9D35-BF05D229C7A7}"/>
    <cellStyle name="Comma 4 2 2 2 3 7" xfId="2339" xr:uid="{00000000-0005-0000-0000-00004A090000}"/>
    <cellStyle name="Comma 4 2 2 2 3 7 2" xfId="11931" xr:uid="{485BFF04-101A-45B4-B176-135690DC8D82}"/>
    <cellStyle name="Comma 4 2 2 2 3 8" xfId="2724" xr:uid="{00000000-0005-0000-0000-0000CB0A0000}"/>
    <cellStyle name="Comma 4 2 2 2 3 8 2" xfId="6947" xr:uid="{00000000-0005-0000-0000-00004A1B0000}"/>
    <cellStyle name="Comma 4 2 2 2 3 8 2 2" xfId="16538" xr:uid="{04ED50E3-7501-4AF3-BBA3-BEF7210AEEB8}"/>
    <cellStyle name="Comma 4 2 2 2 3 8 3" xfId="12316" xr:uid="{50267104-3C70-4C76-B278-45C9790FF909}"/>
    <cellStyle name="Comma 4 2 2 2 3 9" xfId="4564" xr:uid="{00000000-0005-0000-0000-0000FB110000}"/>
    <cellStyle name="Comma 4 2 2 2 3 9 2" xfId="14155" xr:uid="{413D174B-BCC6-44C5-8EFC-A63250D6CC00}"/>
    <cellStyle name="Comma 4 2 2 2 4" xfId="627" xr:uid="{00000000-0005-0000-0000-00009A020000}"/>
    <cellStyle name="Comma 4 2 2 2 4 2" xfId="2898" xr:uid="{00000000-0005-0000-0000-0000790B0000}"/>
    <cellStyle name="Comma 4 2 2 2 4 2 2" xfId="7120" xr:uid="{00000000-0005-0000-0000-0000F71B0000}"/>
    <cellStyle name="Comma 4 2 2 2 4 2 2 2" xfId="16711" xr:uid="{02E76154-3FCB-4A61-8A51-F82503627BB8}"/>
    <cellStyle name="Comma 4 2 2 2 4 2 3" xfId="12490" xr:uid="{1C3D2AB6-BB09-4CD9-A7D0-163463ACA5B4}"/>
    <cellStyle name="Comma 4 2 2 2 4 3" xfId="4975" xr:uid="{00000000-0005-0000-0000-000096130000}"/>
    <cellStyle name="Comma 4 2 2 2 4 3 2" xfId="14566" xr:uid="{BD3A1031-2CF6-4B3C-B7D9-70CE3D4DC8AA}"/>
    <cellStyle name="Comma 4 2 2 2 4 4" xfId="9192" xr:uid="{00000000-0005-0000-0000-00000F240000}"/>
    <cellStyle name="Comma 4 2 2 2 4 5" xfId="10220" xr:uid="{D6F3176A-B306-49E7-B990-3BDE9CF52C53}"/>
    <cellStyle name="Comma 4 2 2 2 5" xfId="1080" xr:uid="{00000000-0005-0000-0000-00005F040000}"/>
    <cellStyle name="Comma 4 2 2 2 5 2" xfId="3311" xr:uid="{00000000-0005-0000-0000-0000160D0000}"/>
    <cellStyle name="Comma 4 2 2 2 5 2 2" xfId="7533" xr:uid="{00000000-0005-0000-0000-0000941D0000}"/>
    <cellStyle name="Comma 4 2 2 2 5 2 2 2" xfId="17124" xr:uid="{F3EF66C9-D69B-417D-8EFE-1B52F107277D}"/>
    <cellStyle name="Comma 4 2 2 2 5 2 3" xfId="12903" xr:uid="{ADDEEFAA-455E-4F39-A98F-F3A5429A5E66}"/>
    <cellStyle name="Comma 4 2 2 2 5 3" xfId="5388" xr:uid="{00000000-0005-0000-0000-000033150000}"/>
    <cellStyle name="Comma 4 2 2 2 5 3 2" xfId="14979" xr:uid="{5CC9AF7A-D1F9-4E64-AC91-F85F79A05EFD}"/>
    <cellStyle name="Comma 4 2 2 2 5 4" xfId="10673" xr:uid="{F9642A35-67A5-4187-ACE2-562753F67BD1}"/>
    <cellStyle name="Comma 4 2 2 2 6" xfId="1494" xr:uid="{00000000-0005-0000-0000-0000FD050000}"/>
    <cellStyle name="Comma 4 2 2 2 6 2" xfId="3724" xr:uid="{00000000-0005-0000-0000-0000B30E0000}"/>
    <cellStyle name="Comma 4 2 2 2 6 2 2" xfId="7946" xr:uid="{00000000-0005-0000-0000-0000311F0000}"/>
    <cellStyle name="Comma 4 2 2 2 6 2 2 2" xfId="17537" xr:uid="{564F484F-E943-4AD9-ADD9-6B2BA6127FE0}"/>
    <cellStyle name="Comma 4 2 2 2 6 2 3" xfId="13316" xr:uid="{C56154FA-0DF9-4788-9709-2660E72991C1}"/>
    <cellStyle name="Comma 4 2 2 2 6 3" xfId="5801" xr:uid="{00000000-0005-0000-0000-0000D0160000}"/>
    <cellStyle name="Comma 4 2 2 2 6 3 2" xfId="15392" xr:uid="{5AA31854-B7F5-4EFF-B62B-C1DDDD9A69F3}"/>
    <cellStyle name="Comma 4 2 2 2 6 4" xfId="11087" xr:uid="{BF8EDACC-8A17-46AA-B281-A391BD3F091F}"/>
    <cellStyle name="Comma 4 2 2 2 7" xfId="1908" xr:uid="{00000000-0005-0000-0000-00009B070000}"/>
    <cellStyle name="Comma 4 2 2 2 7 2" xfId="4137" xr:uid="{00000000-0005-0000-0000-000050100000}"/>
    <cellStyle name="Comma 4 2 2 2 7 2 2" xfId="8359" xr:uid="{00000000-0005-0000-0000-0000CE200000}"/>
    <cellStyle name="Comma 4 2 2 2 7 2 2 2" xfId="17950" xr:uid="{85AB4145-84E3-4B8C-BFBD-86A5DF2EAC6E}"/>
    <cellStyle name="Comma 4 2 2 2 7 2 3" xfId="13729" xr:uid="{49560473-DBEB-4BFB-92E2-C03A4F54CE51}"/>
    <cellStyle name="Comma 4 2 2 2 7 3" xfId="6214" xr:uid="{00000000-0005-0000-0000-00006D180000}"/>
    <cellStyle name="Comma 4 2 2 2 7 3 2" xfId="15805" xr:uid="{7C3CDF7A-8A5D-42F7-BEFD-80BE5FEAAA8A}"/>
    <cellStyle name="Comma 4 2 2 2 7 4" xfId="11500" xr:uid="{06F88D31-0AD1-49E0-961F-20ECCAAB3AB2}"/>
    <cellStyle name="Comma 4 2 2 2 8" xfId="2343" xr:uid="{00000000-0005-0000-0000-00004E090000}"/>
    <cellStyle name="Comma 4 2 2 2 8 2" xfId="6627" xr:uid="{00000000-0005-0000-0000-00000A1A0000}"/>
    <cellStyle name="Comma 4 2 2 2 8 2 2" xfId="16218" xr:uid="{45DEFA33-8255-4767-894E-FAD0FC987909}"/>
    <cellStyle name="Comma 4 2 2 2 8 3" xfId="11935" xr:uid="{3AFB55BF-17D6-4CD3-A25C-B51AE5DF7259}"/>
    <cellStyle name="Comma 4 2 2 2 9" xfId="2342" xr:uid="{00000000-0005-0000-0000-00004D090000}"/>
    <cellStyle name="Comma 4 2 2 2 9 2" xfId="11934" xr:uid="{BA7E161D-04C9-40E1-B345-831CE54030F2}"/>
    <cellStyle name="Comma 4 2 2 3" xfId="105" xr:uid="{00000000-0005-0000-0000-000084000000}"/>
    <cellStyle name="Comma 4 2 2 3 10" xfId="4565" xr:uid="{00000000-0005-0000-0000-0000FC110000}"/>
    <cellStyle name="Comma 4 2 2 3 10 2" xfId="14156" xr:uid="{058B79FD-8585-40F7-811B-0FED20727AC7}"/>
    <cellStyle name="Comma 4 2 2 3 11" xfId="8850" xr:uid="{00000000-0005-0000-0000-0000B9220000}"/>
    <cellStyle name="Comma 4 2 2 3 12" xfId="9717" xr:uid="{1B507304-7776-4337-83D5-2AA7BC7D94E5}"/>
    <cellStyle name="Comma 4 2 2 3 2" xfId="106" xr:uid="{00000000-0005-0000-0000-000085000000}"/>
    <cellStyle name="Comma 4 2 2 3 2 10" xfId="9057" xr:uid="{00000000-0005-0000-0000-000088230000}"/>
    <cellStyle name="Comma 4 2 2 3 2 11" xfId="9718" xr:uid="{F972733C-7C3B-4151-9ECE-8B06CB325949}"/>
    <cellStyle name="Comma 4 2 2 3 2 2" xfId="632" xr:uid="{00000000-0005-0000-0000-00009F020000}"/>
    <cellStyle name="Comma 4 2 2 3 2 2 2" xfId="2903" xr:uid="{00000000-0005-0000-0000-00007E0B0000}"/>
    <cellStyle name="Comma 4 2 2 3 2 2 2 2" xfId="7125" xr:uid="{00000000-0005-0000-0000-0000FC1B0000}"/>
    <cellStyle name="Comma 4 2 2 3 2 2 2 2 2" xfId="16716" xr:uid="{7ADC75CC-7748-4B91-9DC4-93506CCC8FA9}"/>
    <cellStyle name="Comma 4 2 2 3 2 2 2 3" xfId="12495" xr:uid="{E95F2CA1-5586-405E-A143-DCBCBCEAFEB4}"/>
    <cellStyle name="Comma 4 2 2 3 2 2 3" xfId="4980" xr:uid="{00000000-0005-0000-0000-00009B130000}"/>
    <cellStyle name="Comma 4 2 2 3 2 2 3 2" xfId="14571" xr:uid="{67F11CC5-9F00-4E3D-8E39-4512F71DB838}"/>
    <cellStyle name="Comma 4 2 2 3 2 2 4" xfId="9482" xr:uid="{00000000-0005-0000-0000-000031250000}"/>
    <cellStyle name="Comma 4 2 2 3 2 2 5" xfId="10225" xr:uid="{9341A03F-E0A1-4FF6-B0BD-26677DEE6E1C}"/>
    <cellStyle name="Comma 4 2 2 3 2 3" xfId="1085" xr:uid="{00000000-0005-0000-0000-000064040000}"/>
    <cellStyle name="Comma 4 2 2 3 2 3 2" xfId="3316" xr:uid="{00000000-0005-0000-0000-00001B0D0000}"/>
    <cellStyle name="Comma 4 2 2 3 2 3 2 2" xfId="7538" xr:uid="{00000000-0005-0000-0000-0000991D0000}"/>
    <cellStyle name="Comma 4 2 2 3 2 3 2 2 2" xfId="17129" xr:uid="{BEB8CD0F-8DD1-4C99-AD88-03A0D6808878}"/>
    <cellStyle name="Comma 4 2 2 3 2 3 2 3" xfId="12908" xr:uid="{FC389B73-A0C8-43D8-ADA1-502006F66D80}"/>
    <cellStyle name="Comma 4 2 2 3 2 3 3" xfId="5393" xr:uid="{00000000-0005-0000-0000-000038150000}"/>
    <cellStyle name="Comma 4 2 2 3 2 3 3 2" xfId="14984" xr:uid="{25608D36-0E0D-4E0A-A68F-88350085F51C}"/>
    <cellStyle name="Comma 4 2 2 3 2 3 4" xfId="10678" xr:uid="{BF3E3044-628E-4BE1-A3E1-62E18DDA3017}"/>
    <cellStyle name="Comma 4 2 2 3 2 4" xfId="1499" xr:uid="{00000000-0005-0000-0000-000002060000}"/>
    <cellStyle name="Comma 4 2 2 3 2 4 2" xfId="3729" xr:uid="{00000000-0005-0000-0000-0000B80E0000}"/>
    <cellStyle name="Comma 4 2 2 3 2 4 2 2" xfId="7951" xr:uid="{00000000-0005-0000-0000-0000361F0000}"/>
    <cellStyle name="Comma 4 2 2 3 2 4 2 2 2" xfId="17542" xr:uid="{9110EDEC-EFB0-4F35-9E56-08EB3ABDFD45}"/>
    <cellStyle name="Comma 4 2 2 3 2 4 2 3" xfId="13321" xr:uid="{99D9991E-99CA-4DF7-87B5-3DF4CAF007F9}"/>
    <cellStyle name="Comma 4 2 2 3 2 4 3" xfId="5806" xr:uid="{00000000-0005-0000-0000-0000D5160000}"/>
    <cellStyle name="Comma 4 2 2 3 2 4 3 2" xfId="15397" xr:uid="{883EF045-EF52-459C-BA31-37E6D393847D}"/>
    <cellStyle name="Comma 4 2 2 3 2 4 4" xfId="11092" xr:uid="{04A72211-6E69-44F0-878E-A7E882EA2EE7}"/>
    <cellStyle name="Comma 4 2 2 3 2 5" xfId="1913" xr:uid="{00000000-0005-0000-0000-0000A0070000}"/>
    <cellStyle name="Comma 4 2 2 3 2 5 2" xfId="4142" xr:uid="{00000000-0005-0000-0000-000055100000}"/>
    <cellStyle name="Comma 4 2 2 3 2 5 2 2" xfId="8364" xr:uid="{00000000-0005-0000-0000-0000D3200000}"/>
    <cellStyle name="Comma 4 2 2 3 2 5 2 2 2" xfId="17955" xr:uid="{1A8308FD-E28F-4392-857F-270A7A0C4EC5}"/>
    <cellStyle name="Comma 4 2 2 3 2 5 2 3" xfId="13734" xr:uid="{22EF817E-F4F8-4FEA-B33C-06C347CB7F3A}"/>
    <cellStyle name="Comma 4 2 2 3 2 5 3" xfId="6219" xr:uid="{00000000-0005-0000-0000-000072180000}"/>
    <cellStyle name="Comma 4 2 2 3 2 5 3 2" xfId="15810" xr:uid="{D7485C9B-9019-43C1-8D12-2F1963C17009}"/>
    <cellStyle name="Comma 4 2 2 3 2 5 4" xfId="11505" xr:uid="{31E582C8-5B70-4318-B7FF-3E4A40E4ED96}"/>
    <cellStyle name="Comma 4 2 2 3 2 6" xfId="2348" xr:uid="{00000000-0005-0000-0000-000053090000}"/>
    <cellStyle name="Comma 4 2 2 3 2 6 2" xfId="6632" xr:uid="{00000000-0005-0000-0000-00000F1A0000}"/>
    <cellStyle name="Comma 4 2 2 3 2 6 2 2" xfId="16223" xr:uid="{3E5649AA-B44C-4D74-8CFC-1B766FF06A55}"/>
    <cellStyle name="Comma 4 2 2 3 2 6 3" xfId="11940" xr:uid="{5C38F717-E8E8-4F0C-8F95-CE98E2201370}"/>
    <cellStyle name="Comma 4 2 2 3 2 7" xfId="2337" xr:uid="{00000000-0005-0000-0000-000048090000}"/>
    <cellStyle name="Comma 4 2 2 3 2 7 2" xfId="11929" xr:uid="{EFB49B3B-4D57-465A-8FAF-CCBBF3457978}"/>
    <cellStyle name="Comma 4 2 2 3 2 8" xfId="2726" xr:uid="{00000000-0005-0000-0000-0000CD0A0000}"/>
    <cellStyle name="Comma 4 2 2 3 2 8 2" xfId="6949" xr:uid="{00000000-0005-0000-0000-00004C1B0000}"/>
    <cellStyle name="Comma 4 2 2 3 2 8 2 2" xfId="16540" xr:uid="{B29CBED9-7385-42C5-B23D-F39133F0C8CD}"/>
    <cellStyle name="Comma 4 2 2 3 2 8 3" xfId="12318" xr:uid="{738D3B33-56C1-4FD9-B5A1-C1EC2EF10E6F}"/>
    <cellStyle name="Comma 4 2 2 3 2 9" xfId="4566" xr:uid="{00000000-0005-0000-0000-0000FD110000}"/>
    <cellStyle name="Comma 4 2 2 3 2 9 2" xfId="14157" xr:uid="{FD5E45D8-A740-4095-B655-2D17F57A5377}"/>
    <cellStyle name="Comma 4 2 2 3 3" xfId="631" xr:uid="{00000000-0005-0000-0000-00009E020000}"/>
    <cellStyle name="Comma 4 2 2 3 3 2" xfId="2902" xr:uid="{00000000-0005-0000-0000-00007D0B0000}"/>
    <cellStyle name="Comma 4 2 2 3 3 2 2" xfId="7124" xr:uid="{00000000-0005-0000-0000-0000FB1B0000}"/>
    <cellStyle name="Comma 4 2 2 3 3 2 2 2" xfId="16715" xr:uid="{A9BB1C9E-E31C-4E46-9225-EF5E17F24D82}"/>
    <cellStyle name="Comma 4 2 2 3 3 2 3" xfId="12494" xr:uid="{7A0A3839-91AD-49A1-9F69-01D945350E62}"/>
    <cellStyle name="Comma 4 2 2 3 3 3" xfId="4979" xr:uid="{00000000-0005-0000-0000-00009A130000}"/>
    <cellStyle name="Comma 4 2 2 3 3 3 2" xfId="14570" xr:uid="{2EC0605A-2185-43CA-8C39-20AAD1B849DB}"/>
    <cellStyle name="Comma 4 2 2 3 3 4" xfId="9275" xr:uid="{00000000-0005-0000-0000-000062240000}"/>
    <cellStyle name="Comma 4 2 2 3 3 5" xfId="10224" xr:uid="{246523F8-EB35-4AF6-B532-9B7E47FA71EF}"/>
    <cellStyle name="Comma 4 2 2 3 4" xfId="1084" xr:uid="{00000000-0005-0000-0000-000063040000}"/>
    <cellStyle name="Comma 4 2 2 3 4 2" xfId="3315" xr:uid="{00000000-0005-0000-0000-00001A0D0000}"/>
    <cellStyle name="Comma 4 2 2 3 4 2 2" xfId="7537" xr:uid="{00000000-0005-0000-0000-0000981D0000}"/>
    <cellStyle name="Comma 4 2 2 3 4 2 2 2" xfId="17128" xr:uid="{4F2C36C7-E035-454A-A728-E4EFE10A12FC}"/>
    <cellStyle name="Comma 4 2 2 3 4 2 3" xfId="12907" xr:uid="{007E068A-6177-4E5C-B567-3F5A48305B70}"/>
    <cellStyle name="Comma 4 2 2 3 4 3" xfId="5392" xr:uid="{00000000-0005-0000-0000-000037150000}"/>
    <cellStyle name="Comma 4 2 2 3 4 3 2" xfId="14983" xr:uid="{8E28D58A-A01D-4FCD-94A5-8E4622E3D22E}"/>
    <cellStyle name="Comma 4 2 2 3 4 4" xfId="10677" xr:uid="{80018062-9107-45CB-B363-6FA925AB86C4}"/>
    <cellStyle name="Comma 4 2 2 3 5" xfId="1498" xr:uid="{00000000-0005-0000-0000-000001060000}"/>
    <cellStyle name="Comma 4 2 2 3 5 2" xfId="3728" xr:uid="{00000000-0005-0000-0000-0000B70E0000}"/>
    <cellStyle name="Comma 4 2 2 3 5 2 2" xfId="7950" xr:uid="{00000000-0005-0000-0000-0000351F0000}"/>
    <cellStyle name="Comma 4 2 2 3 5 2 2 2" xfId="17541" xr:uid="{8E4C30B3-CE2B-430B-8145-390A1FC7A9EA}"/>
    <cellStyle name="Comma 4 2 2 3 5 2 3" xfId="13320" xr:uid="{FC9F16B7-910B-497B-8624-8CC6F4DAA069}"/>
    <cellStyle name="Comma 4 2 2 3 5 3" xfId="5805" xr:uid="{00000000-0005-0000-0000-0000D4160000}"/>
    <cellStyle name="Comma 4 2 2 3 5 3 2" xfId="15396" xr:uid="{6616718C-5D39-4213-B979-0A6F57C5F8C6}"/>
    <cellStyle name="Comma 4 2 2 3 5 4" xfId="11091" xr:uid="{7CBB04AA-3040-46BD-A9C7-6DABDE750CCA}"/>
    <cellStyle name="Comma 4 2 2 3 6" xfId="1912" xr:uid="{00000000-0005-0000-0000-00009F070000}"/>
    <cellStyle name="Comma 4 2 2 3 6 2" xfId="4141" xr:uid="{00000000-0005-0000-0000-000054100000}"/>
    <cellStyle name="Comma 4 2 2 3 6 2 2" xfId="8363" xr:uid="{00000000-0005-0000-0000-0000D2200000}"/>
    <cellStyle name="Comma 4 2 2 3 6 2 2 2" xfId="17954" xr:uid="{82F8ED9F-EF69-471F-96BD-967041D75D4C}"/>
    <cellStyle name="Comma 4 2 2 3 6 2 3" xfId="13733" xr:uid="{AAC96199-E7BF-4FBB-825F-D6041FBB92A0}"/>
    <cellStyle name="Comma 4 2 2 3 6 3" xfId="6218" xr:uid="{00000000-0005-0000-0000-000071180000}"/>
    <cellStyle name="Comma 4 2 2 3 6 3 2" xfId="15809" xr:uid="{E89BA79D-C0B4-4E12-84C0-11992272A00D}"/>
    <cellStyle name="Comma 4 2 2 3 6 4" xfId="11504" xr:uid="{267EDCFA-4BE0-4130-91EB-E22E13B81B20}"/>
    <cellStyle name="Comma 4 2 2 3 7" xfId="2347" xr:uid="{00000000-0005-0000-0000-000052090000}"/>
    <cellStyle name="Comma 4 2 2 3 7 2" xfId="6631" xr:uid="{00000000-0005-0000-0000-00000E1A0000}"/>
    <cellStyle name="Comma 4 2 2 3 7 2 2" xfId="16222" xr:uid="{55547D3F-3285-4A9D-8B77-5DDF893BE0D1}"/>
    <cellStyle name="Comma 4 2 2 3 7 3" xfId="11939" xr:uid="{795B71A0-E7F8-493B-B15C-B7269452B78B}"/>
    <cellStyle name="Comma 4 2 2 3 8" xfId="2338" xr:uid="{00000000-0005-0000-0000-000049090000}"/>
    <cellStyle name="Comma 4 2 2 3 8 2" xfId="11930" xr:uid="{905869E6-CBFE-46F3-A47F-ED6EB280153A}"/>
    <cellStyle name="Comma 4 2 2 3 9" xfId="2725" xr:uid="{00000000-0005-0000-0000-0000CC0A0000}"/>
    <cellStyle name="Comma 4 2 2 3 9 2" xfId="6948" xr:uid="{00000000-0005-0000-0000-00004B1B0000}"/>
    <cellStyle name="Comma 4 2 2 3 9 2 2" xfId="16539" xr:uid="{91594BAB-2BBB-4417-9756-89DFCAECFAEB}"/>
    <cellStyle name="Comma 4 2 2 3 9 3" xfId="12317" xr:uid="{3A6498B6-75C8-4490-9A82-853997C56DB9}"/>
    <cellStyle name="Comma 4 2 2 4" xfId="107" xr:uid="{00000000-0005-0000-0000-000086000000}"/>
    <cellStyle name="Comma 4 2 2 4 10" xfId="8954" xr:uid="{00000000-0005-0000-0000-000021230000}"/>
    <cellStyle name="Comma 4 2 2 4 11" xfId="9719" xr:uid="{AD454331-AEC5-42E3-A630-4ED8ACF02F7F}"/>
    <cellStyle name="Comma 4 2 2 4 2" xfId="633" xr:uid="{00000000-0005-0000-0000-0000A0020000}"/>
    <cellStyle name="Comma 4 2 2 4 2 2" xfId="2904" xr:uid="{00000000-0005-0000-0000-00007F0B0000}"/>
    <cellStyle name="Comma 4 2 2 4 2 2 2" xfId="7126" xr:uid="{00000000-0005-0000-0000-0000FD1B0000}"/>
    <cellStyle name="Comma 4 2 2 4 2 2 2 2" xfId="16717" xr:uid="{F1AA3465-3A41-44BC-A4F2-A709628B0A59}"/>
    <cellStyle name="Comma 4 2 2 4 2 2 3" xfId="12496" xr:uid="{439A35AC-6986-487D-BEE2-746F5074FC03}"/>
    <cellStyle name="Comma 4 2 2 4 2 3" xfId="4981" xr:uid="{00000000-0005-0000-0000-00009C130000}"/>
    <cellStyle name="Comma 4 2 2 4 2 3 2" xfId="14572" xr:uid="{6F11DA18-BD12-4D49-885D-9C2D3FDBDD42}"/>
    <cellStyle name="Comma 4 2 2 4 2 4" xfId="9379" xr:uid="{00000000-0005-0000-0000-0000CA240000}"/>
    <cellStyle name="Comma 4 2 2 4 2 5" xfId="10226" xr:uid="{F7AB8E1F-CEC6-4786-84DF-91721C7B5C9D}"/>
    <cellStyle name="Comma 4 2 2 4 3" xfId="1086" xr:uid="{00000000-0005-0000-0000-000065040000}"/>
    <cellStyle name="Comma 4 2 2 4 3 2" xfId="3317" xr:uid="{00000000-0005-0000-0000-00001C0D0000}"/>
    <cellStyle name="Comma 4 2 2 4 3 2 2" xfId="7539" xr:uid="{00000000-0005-0000-0000-00009A1D0000}"/>
    <cellStyle name="Comma 4 2 2 4 3 2 2 2" xfId="17130" xr:uid="{5F29536E-7899-4829-9736-88F6642A7295}"/>
    <cellStyle name="Comma 4 2 2 4 3 2 3" xfId="12909" xr:uid="{06FF0803-E10D-4A0C-9A16-1C5AB4B66FCD}"/>
    <cellStyle name="Comma 4 2 2 4 3 3" xfId="5394" xr:uid="{00000000-0005-0000-0000-000039150000}"/>
    <cellStyle name="Comma 4 2 2 4 3 3 2" xfId="14985" xr:uid="{E3C3E2E2-D998-4CF4-A00F-E1919D171CE6}"/>
    <cellStyle name="Comma 4 2 2 4 3 4" xfId="10679" xr:uid="{5823D75E-5361-4B73-B044-8C11EC6B6505}"/>
    <cellStyle name="Comma 4 2 2 4 4" xfId="1500" xr:uid="{00000000-0005-0000-0000-000003060000}"/>
    <cellStyle name="Comma 4 2 2 4 4 2" xfId="3730" xr:uid="{00000000-0005-0000-0000-0000B90E0000}"/>
    <cellStyle name="Comma 4 2 2 4 4 2 2" xfId="7952" xr:uid="{00000000-0005-0000-0000-0000371F0000}"/>
    <cellStyle name="Comma 4 2 2 4 4 2 2 2" xfId="17543" xr:uid="{7658C227-7FC6-49DE-95C4-1A0D697F618F}"/>
    <cellStyle name="Comma 4 2 2 4 4 2 3" xfId="13322" xr:uid="{DC3393A6-43FF-45A7-8CFA-44A00289B85B}"/>
    <cellStyle name="Comma 4 2 2 4 4 3" xfId="5807" xr:uid="{00000000-0005-0000-0000-0000D6160000}"/>
    <cellStyle name="Comma 4 2 2 4 4 3 2" xfId="15398" xr:uid="{835E48E0-C3EC-4E07-8E5C-9ADEA7A9A1AC}"/>
    <cellStyle name="Comma 4 2 2 4 4 4" xfId="11093" xr:uid="{D1860576-E087-4F69-B6A4-D8DA1F3FCBB8}"/>
    <cellStyle name="Comma 4 2 2 4 5" xfId="1914" xr:uid="{00000000-0005-0000-0000-0000A1070000}"/>
    <cellStyle name="Comma 4 2 2 4 5 2" xfId="4143" xr:uid="{00000000-0005-0000-0000-000056100000}"/>
    <cellStyle name="Comma 4 2 2 4 5 2 2" xfId="8365" xr:uid="{00000000-0005-0000-0000-0000D4200000}"/>
    <cellStyle name="Comma 4 2 2 4 5 2 2 2" xfId="17956" xr:uid="{2A8A730E-B18A-4C56-93AC-028BB7ACA5B0}"/>
    <cellStyle name="Comma 4 2 2 4 5 2 3" xfId="13735" xr:uid="{CA6AE73E-D16C-4A25-AEF5-CFAD100335CD}"/>
    <cellStyle name="Comma 4 2 2 4 5 3" xfId="6220" xr:uid="{00000000-0005-0000-0000-000073180000}"/>
    <cellStyle name="Comma 4 2 2 4 5 3 2" xfId="15811" xr:uid="{F29C0525-0B52-4074-BE36-8E5332C4C037}"/>
    <cellStyle name="Comma 4 2 2 4 5 4" xfId="11506" xr:uid="{B3023A6A-B1F4-4085-960E-0DB94F8DB328}"/>
    <cellStyle name="Comma 4 2 2 4 6" xfId="2349" xr:uid="{00000000-0005-0000-0000-000054090000}"/>
    <cellStyle name="Comma 4 2 2 4 6 2" xfId="6633" xr:uid="{00000000-0005-0000-0000-0000101A0000}"/>
    <cellStyle name="Comma 4 2 2 4 6 2 2" xfId="16224" xr:uid="{DE7C6A9D-BD87-4404-A21B-28708DF6137F}"/>
    <cellStyle name="Comma 4 2 2 4 6 3" xfId="11941" xr:uid="{3424A082-0B59-428E-9895-1FD48544105A}"/>
    <cellStyle name="Comma 4 2 2 4 7" xfId="2336" xr:uid="{00000000-0005-0000-0000-000047090000}"/>
    <cellStyle name="Comma 4 2 2 4 7 2" xfId="11928" xr:uid="{6D46EDCB-7322-47CB-8022-83BE7F8280DE}"/>
    <cellStyle name="Comma 4 2 2 4 8" xfId="2727" xr:uid="{00000000-0005-0000-0000-0000CE0A0000}"/>
    <cellStyle name="Comma 4 2 2 4 8 2" xfId="6950" xr:uid="{00000000-0005-0000-0000-00004D1B0000}"/>
    <cellStyle name="Comma 4 2 2 4 8 2 2" xfId="16541" xr:uid="{63A52229-D30F-4133-B299-6E7837A4EA90}"/>
    <cellStyle name="Comma 4 2 2 4 8 3" xfId="12319" xr:uid="{BB3631EE-5F94-4BBD-8122-AAB07EBE6DA0}"/>
    <cellStyle name="Comma 4 2 2 4 9" xfId="4567" xr:uid="{00000000-0005-0000-0000-0000FE110000}"/>
    <cellStyle name="Comma 4 2 2 4 9 2" xfId="14158" xr:uid="{7EC53EB4-0DB9-44AE-A782-B8026FB8B958}"/>
    <cellStyle name="Comma 4 2 2 5" xfId="108" xr:uid="{00000000-0005-0000-0000-000087000000}"/>
    <cellStyle name="Comma 4 2 2 5 10" xfId="9171" xr:uid="{00000000-0005-0000-0000-0000FA230000}"/>
    <cellStyle name="Comma 4 2 2 5 11" xfId="9720" xr:uid="{794D940C-BAB9-4E8A-BAB4-8D861CBF5071}"/>
    <cellStyle name="Comma 4 2 2 5 2" xfId="634" xr:uid="{00000000-0005-0000-0000-0000A1020000}"/>
    <cellStyle name="Comma 4 2 2 5 2 2" xfId="2905" xr:uid="{00000000-0005-0000-0000-0000800B0000}"/>
    <cellStyle name="Comma 4 2 2 5 2 2 2" xfId="7127" xr:uid="{00000000-0005-0000-0000-0000FE1B0000}"/>
    <cellStyle name="Comma 4 2 2 5 2 2 2 2" xfId="16718" xr:uid="{36C28D84-043F-4CCE-AB13-EBC29A9836AE}"/>
    <cellStyle name="Comma 4 2 2 5 2 2 3" xfId="12497" xr:uid="{561014EE-9DF9-454D-A213-F78BB829FD5F}"/>
    <cellStyle name="Comma 4 2 2 5 2 3" xfId="4982" xr:uid="{00000000-0005-0000-0000-00009D130000}"/>
    <cellStyle name="Comma 4 2 2 5 2 3 2" xfId="14573" xr:uid="{C4601851-5934-485E-BD0B-87A72F86ED78}"/>
    <cellStyle name="Comma 4 2 2 5 2 4" xfId="9554" xr:uid="{00000000-0005-0000-0000-000079250000}"/>
    <cellStyle name="Comma 4 2 2 5 2 5" xfId="10227" xr:uid="{470B2680-9085-438E-AF48-73B219C114E3}"/>
    <cellStyle name="Comma 4 2 2 5 3" xfId="1087" xr:uid="{00000000-0005-0000-0000-000066040000}"/>
    <cellStyle name="Comma 4 2 2 5 3 2" xfId="3318" xr:uid="{00000000-0005-0000-0000-00001D0D0000}"/>
    <cellStyle name="Comma 4 2 2 5 3 2 2" xfId="7540" xr:uid="{00000000-0005-0000-0000-00009B1D0000}"/>
    <cellStyle name="Comma 4 2 2 5 3 2 2 2" xfId="17131" xr:uid="{A86DBAFE-6AF6-4C14-A9AF-BA747D0384D5}"/>
    <cellStyle name="Comma 4 2 2 5 3 2 3" xfId="12910" xr:uid="{5685483E-5E08-4EED-9DC5-A66E97B76598}"/>
    <cellStyle name="Comma 4 2 2 5 3 3" xfId="5395" xr:uid="{00000000-0005-0000-0000-00003A150000}"/>
    <cellStyle name="Comma 4 2 2 5 3 3 2" xfId="14986" xr:uid="{3456C7F6-412E-46D7-B76F-DE7847A2ACA4}"/>
    <cellStyle name="Comma 4 2 2 5 3 4" xfId="10680" xr:uid="{FBA9C109-576E-480C-AD4A-49BDA7805870}"/>
    <cellStyle name="Comma 4 2 2 5 4" xfId="1501" xr:uid="{00000000-0005-0000-0000-000004060000}"/>
    <cellStyle name="Comma 4 2 2 5 4 2" xfId="3731" xr:uid="{00000000-0005-0000-0000-0000BA0E0000}"/>
    <cellStyle name="Comma 4 2 2 5 4 2 2" xfId="7953" xr:uid="{00000000-0005-0000-0000-0000381F0000}"/>
    <cellStyle name="Comma 4 2 2 5 4 2 2 2" xfId="17544" xr:uid="{E705A7E5-ED1D-4A7B-B21B-3403DBFC8C8C}"/>
    <cellStyle name="Comma 4 2 2 5 4 2 3" xfId="13323" xr:uid="{67A112F2-B569-4758-B38D-6B568FF3F5E6}"/>
    <cellStyle name="Comma 4 2 2 5 4 3" xfId="5808" xr:uid="{00000000-0005-0000-0000-0000D7160000}"/>
    <cellStyle name="Comma 4 2 2 5 4 3 2" xfId="15399" xr:uid="{77FE37AB-A509-4294-996D-A2EC531DCABF}"/>
    <cellStyle name="Comma 4 2 2 5 4 4" xfId="11094" xr:uid="{AEAB3533-708F-443E-B7A4-AE5A046F7D94}"/>
    <cellStyle name="Comma 4 2 2 5 5" xfId="1915" xr:uid="{00000000-0005-0000-0000-0000A2070000}"/>
    <cellStyle name="Comma 4 2 2 5 5 2" xfId="4144" xr:uid="{00000000-0005-0000-0000-000057100000}"/>
    <cellStyle name="Comma 4 2 2 5 5 2 2" xfId="8366" xr:uid="{00000000-0005-0000-0000-0000D5200000}"/>
    <cellStyle name="Comma 4 2 2 5 5 2 2 2" xfId="17957" xr:uid="{9717F902-4CE2-4492-B3C1-E7EC6AD7E875}"/>
    <cellStyle name="Comma 4 2 2 5 5 2 3" xfId="13736" xr:uid="{4C51C4C3-4216-4747-A579-852A02BF93B5}"/>
    <cellStyle name="Comma 4 2 2 5 5 3" xfId="6221" xr:uid="{00000000-0005-0000-0000-000074180000}"/>
    <cellStyle name="Comma 4 2 2 5 5 3 2" xfId="15812" xr:uid="{A8B4EBED-C11A-4BED-92A0-D9895EB87140}"/>
    <cellStyle name="Comma 4 2 2 5 5 4" xfId="11507" xr:uid="{43E61D46-0BC7-4CB1-8A5D-7A08B91D7D59}"/>
    <cellStyle name="Comma 4 2 2 5 6" xfId="2350" xr:uid="{00000000-0005-0000-0000-000055090000}"/>
    <cellStyle name="Comma 4 2 2 5 6 2" xfId="6634" xr:uid="{00000000-0005-0000-0000-0000111A0000}"/>
    <cellStyle name="Comma 4 2 2 5 6 2 2" xfId="16225" xr:uid="{CD767239-F111-45B9-8C68-5D642E302E4D}"/>
    <cellStyle name="Comma 4 2 2 5 6 3" xfId="11942" xr:uid="{453C9020-B824-4072-8842-88EA15362109}"/>
    <cellStyle name="Comma 4 2 2 5 7" xfId="2335" xr:uid="{00000000-0005-0000-0000-000046090000}"/>
    <cellStyle name="Comma 4 2 2 5 7 2" xfId="11927" xr:uid="{5ABC99B0-025E-4EF4-8642-6BAC93E87BFF}"/>
    <cellStyle name="Comma 4 2 2 5 8" xfId="2728" xr:uid="{00000000-0005-0000-0000-0000CF0A0000}"/>
    <cellStyle name="Comma 4 2 2 5 8 2" xfId="6951" xr:uid="{00000000-0005-0000-0000-00004E1B0000}"/>
    <cellStyle name="Comma 4 2 2 5 8 2 2" xfId="16542" xr:uid="{E49A0CD8-F243-4F21-AF58-94897A4D7442}"/>
    <cellStyle name="Comma 4 2 2 5 8 3" xfId="12320" xr:uid="{D5718A09-8CB1-4104-ACD6-93F6FA54E4EA}"/>
    <cellStyle name="Comma 4 2 2 5 9" xfId="4568" xr:uid="{00000000-0005-0000-0000-0000FF110000}"/>
    <cellStyle name="Comma 4 2 2 5 9 2" xfId="14159" xr:uid="{5FD2D764-28D7-46D1-BB32-95BAA3437627}"/>
    <cellStyle name="Comma 4 2 2 6" xfId="9189" xr:uid="{00000000-0005-0000-0000-00000C240000}"/>
    <cellStyle name="Comma 4 2 2 7" xfId="8747" xr:uid="{00000000-0005-0000-0000-000052220000}"/>
    <cellStyle name="Comma 4 2 2 8" xfId="9712" xr:uid="{02323C98-93FB-4C55-9F97-140CDF2A857D}"/>
    <cellStyle name="Comma 4 2 3" xfId="109" xr:uid="{00000000-0005-0000-0000-000088000000}"/>
    <cellStyle name="Comma 4 2 3 10" xfId="2729" xr:uid="{00000000-0005-0000-0000-0000D00A0000}"/>
    <cellStyle name="Comma 4 2 3 10 2" xfId="6952" xr:uid="{00000000-0005-0000-0000-00004F1B0000}"/>
    <cellStyle name="Comma 4 2 3 10 2 2" xfId="16543" xr:uid="{71AF575D-0D1D-4C2B-8289-A6C23F8129FC}"/>
    <cellStyle name="Comma 4 2 3 10 3" xfId="12321" xr:uid="{351C1C2B-6244-457B-A18E-49D59740ABAF}"/>
    <cellStyle name="Comma 4 2 3 11" xfId="4569" xr:uid="{00000000-0005-0000-0000-000000120000}"/>
    <cellStyle name="Comma 4 2 3 11 2" xfId="14160" xr:uid="{2456376F-67CB-4DA2-A73B-8FAE557E18D9}"/>
    <cellStyle name="Comma 4 2 3 12" xfId="8766" xr:uid="{00000000-0005-0000-0000-000065220000}"/>
    <cellStyle name="Comma 4 2 3 13" xfId="9721" xr:uid="{3B5E207C-C57E-497D-BFC2-0A6D57B91A1E}"/>
    <cellStyle name="Comma 4 2 3 2" xfId="110" xr:uid="{00000000-0005-0000-0000-000089000000}"/>
    <cellStyle name="Comma 4 2 3 2 10" xfId="4570" xr:uid="{00000000-0005-0000-0000-000001120000}"/>
    <cellStyle name="Comma 4 2 3 2 10 2" xfId="14161" xr:uid="{23846B79-3546-4EDE-8150-5FC1E3FD2662}"/>
    <cellStyle name="Comma 4 2 3 2 11" xfId="8869" xr:uid="{00000000-0005-0000-0000-0000CC220000}"/>
    <cellStyle name="Comma 4 2 3 2 12" xfId="9722" xr:uid="{42506419-2A16-4D1B-B0A8-9DF28C05BA40}"/>
    <cellStyle name="Comma 4 2 3 2 2" xfId="111" xr:uid="{00000000-0005-0000-0000-00008A000000}"/>
    <cellStyle name="Comma 4 2 3 2 2 10" xfId="9076" xr:uid="{00000000-0005-0000-0000-00009B230000}"/>
    <cellStyle name="Comma 4 2 3 2 2 11" xfId="9723" xr:uid="{DA9C2F69-F50A-42A3-BC2F-FD260930E5A7}"/>
    <cellStyle name="Comma 4 2 3 2 2 2" xfId="637" xr:uid="{00000000-0005-0000-0000-0000A4020000}"/>
    <cellStyle name="Comma 4 2 3 2 2 2 2" xfId="2908" xr:uid="{00000000-0005-0000-0000-0000830B0000}"/>
    <cellStyle name="Comma 4 2 3 2 2 2 2 2" xfId="7130" xr:uid="{00000000-0005-0000-0000-0000011C0000}"/>
    <cellStyle name="Comma 4 2 3 2 2 2 2 2 2" xfId="16721" xr:uid="{E1A60BB3-E865-4891-9F28-E4DCF08B347F}"/>
    <cellStyle name="Comma 4 2 3 2 2 2 2 3" xfId="12500" xr:uid="{7C37172D-FB1A-458A-BF95-B2486E820CC5}"/>
    <cellStyle name="Comma 4 2 3 2 2 2 3" xfId="4985" xr:uid="{00000000-0005-0000-0000-0000A0130000}"/>
    <cellStyle name="Comma 4 2 3 2 2 2 3 2" xfId="14576" xr:uid="{C37863A7-EE3D-4D10-B8F8-E7D1CCEE3125}"/>
    <cellStyle name="Comma 4 2 3 2 2 2 4" xfId="9501" xr:uid="{00000000-0005-0000-0000-000044250000}"/>
    <cellStyle name="Comma 4 2 3 2 2 2 5" xfId="10230" xr:uid="{BCC46245-F4D3-4923-853A-EABBFCA767AC}"/>
    <cellStyle name="Comma 4 2 3 2 2 3" xfId="1090" xr:uid="{00000000-0005-0000-0000-000069040000}"/>
    <cellStyle name="Comma 4 2 3 2 2 3 2" xfId="3321" xr:uid="{00000000-0005-0000-0000-0000200D0000}"/>
    <cellStyle name="Comma 4 2 3 2 2 3 2 2" xfId="7543" xr:uid="{00000000-0005-0000-0000-00009E1D0000}"/>
    <cellStyle name="Comma 4 2 3 2 2 3 2 2 2" xfId="17134" xr:uid="{4E007BDC-E8E8-4CB8-B38F-2F6DFF9DC54A}"/>
    <cellStyle name="Comma 4 2 3 2 2 3 2 3" xfId="12913" xr:uid="{787B4D9F-6D95-44B8-8529-76206FD29227}"/>
    <cellStyle name="Comma 4 2 3 2 2 3 3" xfId="5398" xr:uid="{00000000-0005-0000-0000-00003D150000}"/>
    <cellStyle name="Comma 4 2 3 2 2 3 3 2" xfId="14989" xr:uid="{A0C972DF-331D-44AD-876E-8815977A6027}"/>
    <cellStyle name="Comma 4 2 3 2 2 3 4" xfId="10683" xr:uid="{F3A37502-8AD8-4FC8-929E-67F98710EB5D}"/>
    <cellStyle name="Comma 4 2 3 2 2 4" xfId="1504" xr:uid="{00000000-0005-0000-0000-000007060000}"/>
    <cellStyle name="Comma 4 2 3 2 2 4 2" xfId="3734" xr:uid="{00000000-0005-0000-0000-0000BD0E0000}"/>
    <cellStyle name="Comma 4 2 3 2 2 4 2 2" xfId="7956" xr:uid="{00000000-0005-0000-0000-00003B1F0000}"/>
    <cellStyle name="Comma 4 2 3 2 2 4 2 2 2" xfId="17547" xr:uid="{34E468A3-916F-4741-9D26-A209A2EB9758}"/>
    <cellStyle name="Comma 4 2 3 2 2 4 2 3" xfId="13326" xr:uid="{CA9340DF-AB80-4CA3-B4D8-392E528758F4}"/>
    <cellStyle name="Comma 4 2 3 2 2 4 3" xfId="5811" xr:uid="{00000000-0005-0000-0000-0000DA160000}"/>
    <cellStyle name="Comma 4 2 3 2 2 4 3 2" xfId="15402" xr:uid="{813CCC04-5BD0-41FA-90FF-1404B1683472}"/>
    <cellStyle name="Comma 4 2 3 2 2 4 4" xfId="11097" xr:uid="{71DCFC58-7265-4412-A039-9F4AE80DB827}"/>
    <cellStyle name="Comma 4 2 3 2 2 5" xfId="1918" xr:uid="{00000000-0005-0000-0000-0000A5070000}"/>
    <cellStyle name="Comma 4 2 3 2 2 5 2" xfId="4147" xr:uid="{00000000-0005-0000-0000-00005A100000}"/>
    <cellStyle name="Comma 4 2 3 2 2 5 2 2" xfId="8369" xr:uid="{00000000-0005-0000-0000-0000D8200000}"/>
    <cellStyle name="Comma 4 2 3 2 2 5 2 2 2" xfId="17960" xr:uid="{2B0C9D46-945C-43C1-9B43-D1B8B49FF1CE}"/>
    <cellStyle name="Comma 4 2 3 2 2 5 2 3" xfId="13739" xr:uid="{24847932-0112-499B-AF03-B23D09661569}"/>
    <cellStyle name="Comma 4 2 3 2 2 5 3" xfId="6224" xr:uid="{00000000-0005-0000-0000-000077180000}"/>
    <cellStyle name="Comma 4 2 3 2 2 5 3 2" xfId="15815" xr:uid="{2C5EE29B-6E7F-4E07-B557-6F136BDC7869}"/>
    <cellStyle name="Comma 4 2 3 2 2 5 4" xfId="11510" xr:uid="{DC262577-E03A-43C4-89F1-581D2F973DF2}"/>
    <cellStyle name="Comma 4 2 3 2 2 6" xfId="2353" xr:uid="{00000000-0005-0000-0000-000058090000}"/>
    <cellStyle name="Comma 4 2 3 2 2 6 2" xfId="6637" xr:uid="{00000000-0005-0000-0000-0000141A0000}"/>
    <cellStyle name="Comma 4 2 3 2 2 6 2 2" xfId="16228" xr:uid="{86A7FBE9-596E-4B23-8AFF-25797D47BDAE}"/>
    <cellStyle name="Comma 4 2 3 2 2 6 3" xfId="11945" xr:uid="{4A253D9A-B2FF-4297-AAF5-83A55E6C5F09}"/>
    <cellStyle name="Comma 4 2 3 2 2 7" xfId="2332" xr:uid="{00000000-0005-0000-0000-000043090000}"/>
    <cellStyle name="Comma 4 2 3 2 2 7 2" xfId="11924" xr:uid="{5F3D4C0D-4788-4D10-AC7C-04E9D96BCB44}"/>
    <cellStyle name="Comma 4 2 3 2 2 8" xfId="2731" xr:uid="{00000000-0005-0000-0000-0000D20A0000}"/>
    <cellStyle name="Comma 4 2 3 2 2 8 2" xfId="6954" xr:uid="{00000000-0005-0000-0000-0000511B0000}"/>
    <cellStyle name="Comma 4 2 3 2 2 8 2 2" xfId="16545" xr:uid="{CE18D998-526E-410F-AB72-3F0A0AC2BBA5}"/>
    <cellStyle name="Comma 4 2 3 2 2 8 3" xfId="12323" xr:uid="{AC48FD27-24E5-48F9-B10F-0A131F499309}"/>
    <cellStyle name="Comma 4 2 3 2 2 9" xfId="4571" xr:uid="{00000000-0005-0000-0000-000002120000}"/>
    <cellStyle name="Comma 4 2 3 2 2 9 2" xfId="14162" xr:uid="{F7585C26-FFAB-4CCF-8BC1-3CA3CDCF8D47}"/>
    <cellStyle name="Comma 4 2 3 2 3" xfId="636" xr:uid="{00000000-0005-0000-0000-0000A3020000}"/>
    <cellStyle name="Comma 4 2 3 2 3 2" xfId="2907" xr:uid="{00000000-0005-0000-0000-0000820B0000}"/>
    <cellStyle name="Comma 4 2 3 2 3 2 2" xfId="7129" xr:uid="{00000000-0005-0000-0000-0000001C0000}"/>
    <cellStyle name="Comma 4 2 3 2 3 2 2 2" xfId="16720" xr:uid="{3B71E9A4-EB93-4E31-8A17-DF2E63A2FC58}"/>
    <cellStyle name="Comma 4 2 3 2 3 2 3" xfId="12499" xr:uid="{EA53C504-FC26-48A0-AAA8-A4A18CBFBBF2}"/>
    <cellStyle name="Comma 4 2 3 2 3 3" xfId="4984" xr:uid="{00000000-0005-0000-0000-00009F130000}"/>
    <cellStyle name="Comma 4 2 3 2 3 3 2" xfId="14575" xr:uid="{8285FEB0-F5C8-4A47-8EFD-2BAC348EAACC}"/>
    <cellStyle name="Comma 4 2 3 2 3 4" xfId="9294" xr:uid="{00000000-0005-0000-0000-000075240000}"/>
    <cellStyle name="Comma 4 2 3 2 3 5" xfId="10229" xr:uid="{B9A32448-63E3-4230-B77D-7F4F8443639D}"/>
    <cellStyle name="Comma 4 2 3 2 4" xfId="1089" xr:uid="{00000000-0005-0000-0000-000068040000}"/>
    <cellStyle name="Comma 4 2 3 2 4 2" xfId="3320" xr:uid="{00000000-0005-0000-0000-00001F0D0000}"/>
    <cellStyle name="Comma 4 2 3 2 4 2 2" xfId="7542" xr:uid="{00000000-0005-0000-0000-00009D1D0000}"/>
    <cellStyle name="Comma 4 2 3 2 4 2 2 2" xfId="17133" xr:uid="{53079E65-A9CC-4321-8038-72FBDB8C090E}"/>
    <cellStyle name="Comma 4 2 3 2 4 2 3" xfId="12912" xr:uid="{F70CE98A-3249-42AD-B993-A63F05E90E14}"/>
    <cellStyle name="Comma 4 2 3 2 4 3" xfId="5397" xr:uid="{00000000-0005-0000-0000-00003C150000}"/>
    <cellStyle name="Comma 4 2 3 2 4 3 2" xfId="14988" xr:uid="{403BC0B4-CC21-4A40-A219-1A22430704AF}"/>
    <cellStyle name="Comma 4 2 3 2 4 4" xfId="10682" xr:uid="{A3185772-1502-4A3D-92AD-9076DC7FE934}"/>
    <cellStyle name="Comma 4 2 3 2 5" xfId="1503" xr:uid="{00000000-0005-0000-0000-000006060000}"/>
    <cellStyle name="Comma 4 2 3 2 5 2" xfId="3733" xr:uid="{00000000-0005-0000-0000-0000BC0E0000}"/>
    <cellStyle name="Comma 4 2 3 2 5 2 2" xfId="7955" xr:uid="{00000000-0005-0000-0000-00003A1F0000}"/>
    <cellStyle name="Comma 4 2 3 2 5 2 2 2" xfId="17546" xr:uid="{2F639325-2229-4F21-A30E-DCD6FD5D1113}"/>
    <cellStyle name="Comma 4 2 3 2 5 2 3" xfId="13325" xr:uid="{A3E54E63-A405-437D-9331-4D5A48AA3408}"/>
    <cellStyle name="Comma 4 2 3 2 5 3" xfId="5810" xr:uid="{00000000-0005-0000-0000-0000D9160000}"/>
    <cellStyle name="Comma 4 2 3 2 5 3 2" xfId="15401" xr:uid="{F9B2E767-12A5-49D2-8CEC-5B7B0ED9B356}"/>
    <cellStyle name="Comma 4 2 3 2 5 4" xfId="11096" xr:uid="{B22630C2-23A7-43E0-A73E-2FFA64E38DD1}"/>
    <cellStyle name="Comma 4 2 3 2 6" xfId="1917" xr:uid="{00000000-0005-0000-0000-0000A4070000}"/>
    <cellStyle name="Comma 4 2 3 2 6 2" xfId="4146" xr:uid="{00000000-0005-0000-0000-000059100000}"/>
    <cellStyle name="Comma 4 2 3 2 6 2 2" xfId="8368" xr:uid="{00000000-0005-0000-0000-0000D7200000}"/>
    <cellStyle name="Comma 4 2 3 2 6 2 2 2" xfId="17959" xr:uid="{5CB66580-9F7F-4CD9-AE23-99E5F6A4DB9D}"/>
    <cellStyle name="Comma 4 2 3 2 6 2 3" xfId="13738" xr:uid="{EF663731-AACB-404D-9661-5A49B0E2B615}"/>
    <cellStyle name="Comma 4 2 3 2 6 3" xfId="6223" xr:uid="{00000000-0005-0000-0000-000076180000}"/>
    <cellStyle name="Comma 4 2 3 2 6 3 2" xfId="15814" xr:uid="{7FE7EB98-880F-42F9-8B9C-A09C4153BE24}"/>
    <cellStyle name="Comma 4 2 3 2 6 4" xfId="11509" xr:uid="{88E4D6F3-5DFE-4280-ADA1-D9FB9BE44777}"/>
    <cellStyle name="Comma 4 2 3 2 7" xfId="2352" xr:uid="{00000000-0005-0000-0000-000057090000}"/>
    <cellStyle name="Comma 4 2 3 2 7 2" xfId="6636" xr:uid="{00000000-0005-0000-0000-0000131A0000}"/>
    <cellStyle name="Comma 4 2 3 2 7 2 2" xfId="16227" xr:uid="{2934B7C4-1BA7-46B2-93F1-9629818A522C}"/>
    <cellStyle name="Comma 4 2 3 2 7 3" xfId="11944" xr:uid="{B06268BC-617A-443C-952D-6AE99F586902}"/>
    <cellStyle name="Comma 4 2 3 2 8" xfId="2333" xr:uid="{00000000-0005-0000-0000-000044090000}"/>
    <cellStyle name="Comma 4 2 3 2 8 2" xfId="11925" xr:uid="{64415F3C-2F34-44FB-A9D5-A0F43CD6A078}"/>
    <cellStyle name="Comma 4 2 3 2 9" xfId="2730" xr:uid="{00000000-0005-0000-0000-0000D10A0000}"/>
    <cellStyle name="Comma 4 2 3 2 9 2" xfId="6953" xr:uid="{00000000-0005-0000-0000-0000501B0000}"/>
    <cellStyle name="Comma 4 2 3 2 9 2 2" xfId="16544" xr:uid="{5D7F42E6-7AD5-4733-83B8-AE08983DA812}"/>
    <cellStyle name="Comma 4 2 3 2 9 3" xfId="12322" xr:uid="{2EA644E5-3840-4152-8E4A-E1009CF174E6}"/>
    <cellStyle name="Comma 4 2 3 3" xfId="112" xr:uid="{00000000-0005-0000-0000-00008B000000}"/>
    <cellStyle name="Comma 4 2 3 3 10" xfId="8973" xr:uid="{00000000-0005-0000-0000-000034230000}"/>
    <cellStyle name="Comma 4 2 3 3 11" xfId="9724" xr:uid="{BCF3B776-7491-4380-A7CD-7AEF0F9B4FEE}"/>
    <cellStyle name="Comma 4 2 3 3 2" xfId="638" xr:uid="{00000000-0005-0000-0000-0000A5020000}"/>
    <cellStyle name="Comma 4 2 3 3 2 2" xfId="2909" xr:uid="{00000000-0005-0000-0000-0000840B0000}"/>
    <cellStyle name="Comma 4 2 3 3 2 2 2" xfId="7131" xr:uid="{00000000-0005-0000-0000-0000021C0000}"/>
    <cellStyle name="Comma 4 2 3 3 2 2 2 2" xfId="16722" xr:uid="{BE1203D5-CB11-468D-86E9-440A41AC3D78}"/>
    <cellStyle name="Comma 4 2 3 3 2 2 3" xfId="12501" xr:uid="{5202195E-B31D-4E3B-82A3-87A3664E4BED}"/>
    <cellStyle name="Comma 4 2 3 3 2 3" xfId="4986" xr:uid="{00000000-0005-0000-0000-0000A1130000}"/>
    <cellStyle name="Comma 4 2 3 3 2 3 2" xfId="14577" xr:uid="{C1BAD1DE-BA21-4EF1-9049-134C96AE3299}"/>
    <cellStyle name="Comma 4 2 3 3 2 4" xfId="9398" xr:uid="{00000000-0005-0000-0000-0000DD240000}"/>
    <cellStyle name="Comma 4 2 3 3 2 5" xfId="10231" xr:uid="{C0FAD170-3F7F-4440-AF86-21448BE42339}"/>
    <cellStyle name="Comma 4 2 3 3 3" xfId="1091" xr:uid="{00000000-0005-0000-0000-00006A040000}"/>
    <cellStyle name="Comma 4 2 3 3 3 2" xfId="3322" xr:uid="{00000000-0005-0000-0000-0000210D0000}"/>
    <cellStyle name="Comma 4 2 3 3 3 2 2" xfId="7544" xr:uid="{00000000-0005-0000-0000-00009F1D0000}"/>
    <cellStyle name="Comma 4 2 3 3 3 2 2 2" xfId="17135" xr:uid="{5D860854-A3E2-4EEF-9133-7A5A8AB99F83}"/>
    <cellStyle name="Comma 4 2 3 3 3 2 3" xfId="12914" xr:uid="{D15D7968-2778-46CD-9880-FE809FDDFDD7}"/>
    <cellStyle name="Comma 4 2 3 3 3 3" xfId="5399" xr:uid="{00000000-0005-0000-0000-00003E150000}"/>
    <cellStyle name="Comma 4 2 3 3 3 3 2" xfId="14990" xr:uid="{98858799-6770-4003-866A-F3419793DB03}"/>
    <cellStyle name="Comma 4 2 3 3 3 4" xfId="10684" xr:uid="{860E4FA4-C93A-4282-855C-5641B4D42E9E}"/>
    <cellStyle name="Comma 4 2 3 3 4" xfId="1505" xr:uid="{00000000-0005-0000-0000-000008060000}"/>
    <cellStyle name="Comma 4 2 3 3 4 2" xfId="3735" xr:uid="{00000000-0005-0000-0000-0000BE0E0000}"/>
    <cellStyle name="Comma 4 2 3 3 4 2 2" xfId="7957" xr:uid="{00000000-0005-0000-0000-00003C1F0000}"/>
    <cellStyle name="Comma 4 2 3 3 4 2 2 2" xfId="17548" xr:uid="{90066DBA-958B-44B8-9947-07204F603F8F}"/>
    <cellStyle name="Comma 4 2 3 3 4 2 3" xfId="13327" xr:uid="{F08F6A1A-86D3-4711-B09A-9B4498B19017}"/>
    <cellStyle name="Comma 4 2 3 3 4 3" xfId="5812" xr:uid="{00000000-0005-0000-0000-0000DB160000}"/>
    <cellStyle name="Comma 4 2 3 3 4 3 2" xfId="15403" xr:uid="{D3AB200E-382D-4FA2-A7F8-42EDBCE16D1C}"/>
    <cellStyle name="Comma 4 2 3 3 4 4" xfId="11098" xr:uid="{1C30DD00-EB64-49BA-8B16-1C74EC88E00D}"/>
    <cellStyle name="Comma 4 2 3 3 5" xfId="1919" xr:uid="{00000000-0005-0000-0000-0000A6070000}"/>
    <cellStyle name="Comma 4 2 3 3 5 2" xfId="4148" xr:uid="{00000000-0005-0000-0000-00005B100000}"/>
    <cellStyle name="Comma 4 2 3 3 5 2 2" xfId="8370" xr:uid="{00000000-0005-0000-0000-0000D9200000}"/>
    <cellStyle name="Comma 4 2 3 3 5 2 2 2" xfId="17961" xr:uid="{3E55F2FB-AC9F-48DF-B594-260FEDDAF35C}"/>
    <cellStyle name="Comma 4 2 3 3 5 2 3" xfId="13740" xr:uid="{532C788E-0F60-45CC-A5A8-EBCD7982D6A6}"/>
    <cellStyle name="Comma 4 2 3 3 5 3" xfId="6225" xr:uid="{00000000-0005-0000-0000-000078180000}"/>
    <cellStyle name="Comma 4 2 3 3 5 3 2" xfId="15816" xr:uid="{290708C4-2EA2-4350-BA06-F7AFE851EDA8}"/>
    <cellStyle name="Comma 4 2 3 3 5 4" xfId="11511" xr:uid="{BA7FCED1-D597-421A-8A51-FD4F80EE2CAB}"/>
    <cellStyle name="Comma 4 2 3 3 6" xfId="2354" xr:uid="{00000000-0005-0000-0000-000059090000}"/>
    <cellStyle name="Comma 4 2 3 3 6 2" xfId="6638" xr:uid="{00000000-0005-0000-0000-0000151A0000}"/>
    <cellStyle name="Comma 4 2 3 3 6 2 2" xfId="16229" xr:uid="{0CF87BC7-4167-42B2-9233-F7802E5CDDB8}"/>
    <cellStyle name="Comma 4 2 3 3 6 3" xfId="11946" xr:uid="{771E98F1-F66D-404D-ADEB-5A6DA55104A4}"/>
    <cellStyle name="Comma 4 2 3 3 7" xfId="2331" xr:uid="{00000000-0005-0000-0000-000042090000}"/>
    <cellStyle name="Comma 4 2 3 3 7 2" xfId="11923" xr:uid="{116C7C37-7F35-4711-9E76-7A519A10915D}"/>
    <cellStyle name="Comma 4 2 3 3 8" xfId="2732" xr:uid="{00000000-0005-0000-0000-0000D30A0000}"/>
    <cellStyle name="Comma 4 2 3 3 8 2" xfId="6955" xr:uid="{00000000-0005-0000-0000-0000521B0000}"/>
    <cellStyle name="Comma 4 2 3 3 8 2 2" xfId="16546" xr:uid="{BD133E08-EF08-4CAD-AC4E-409EFE8B928B}"/>
    <cellStyle name="Comma 4 2 3 3 8 3" xfId="12324" xr:uid="{080D09C0-0200-46EE-B6C8-F6A4D5CBB2AD}"/>
    <cellStyle name="Comma 4 2 3 3 9" xfId="4572" xr:uid="{00000000-0005-0000-0000-000003120000}"/>
    <cellStyle name="Comma 4 2 3 3 9 2" xfId="14163" xr:uid="{9020B2A5-AEF4-45BA-84D2-940356C0E133}"/>
    <cellStyle name="Comma 4 2 3 4" xfId="635" xr:uid="{00000000-0005-0000-0000-0000A2020000}"/>
    <cellStyle name="Comma 4 2 3 4 2" xfId="2906" xr:uid="{00000000-0005-0000-0000-0000810B0000}"/>
    <cellStyle name="Comma 4 2 3 4 2 2" xfId="7128" xr:uid="{00000000-0005-0000-0000-0000FF1B0000}"/>
    <cellStyle name="Comma 4 2 3 4 2 2 2" xfId="16719" xr:uid="{5C648366-96BE-4B6B-8A61-62955DCA5F01}"/>
    <cellStyle name="Comma 4 2 3 4 2 3" xfId="12498" xr:uid="{CDFF0767-58D1-4D35-8DAD-34FBFDFAEEBD}"/>
    <cellStyle name="Comma 4 2 3 4 3" xfId="4983" xr:uid="{00000000-0005-0000-0000-00009E130000}"/>
    <cellStyle name="Comma 4 2 3 4 3 2" xfId="14574" xr:uid="{D68BD25E-F683-4525-A6A9-D917FB00B17C}"/>
    <cellStyle name="Comma 4 2 3 4 4" xfId="9191" xr:uid="{00000000-0005-0000-0000-00000E240000}"/>
    <cellStyle name="Comma 4 2 3 4 5" xfId="10228" xr:uid="{8BE6ECAE-D53B-4BD9-9F58-68055FCB6150}"/>
    <cellStyle name="Comma 4 2 3 5" xfId="1088" xr:uid="{00000000-0005-0000-0000-000067040000}"/>
    <cellStyle name="Comma 4 2 3 5 2" xfId="3319" xr:uid="{00000000-0005-0000-0000-00001E0D0000}"/>
    <cellStyle name="Comma 4 2 3 5 2 2" xfId="7541" xr:uid="{00000000-0005-0000-0000-00009C1D0000}"/>
    <cellStyle name="Comma 4 2 3 5 2 2 2" xfId="17132" xr:uid="{D5CA71C2-9B27-4F5B-80E6-636655105E8F}"/>
    <cellStyle name="Comma 4 2 3 5 2 3" xfId="12911" xr:uid="{E9C259C4-5F9D-41BD-8815-92EEBDC25870}"/>
    <cellStyle name="Comma 4 2 3 5 3" xfId="5396" xr:uid="{00000000-0005-0000-0000-00003B150000}"/>
    <cellStyle name="Comma 4 2 3 5 3 2" xfId="14987" xr:uid="{9D3330A8-04B9-41BB-8929-E3599F71605E}"/>
    <cellStyle name="Comma 4 2 3 5 4" xfId="10681" xr:uid="{5ACC4496-55C9-4B6D-9F81-0B148E8896B4}"/>
    <cellStyle name="Comma 4 2 3 6" xfId="1502" xr:uid="{00000000-0005-0000-0000-000005060000}"/>
    <cellStyle name="Comma 4 2 3 6 2" xfId="3732" xr:uid="{00000000-0005-0000-0000-0000BB0E0000}"/>
    <cellStyle name="Comma 4 2 3 6 2 2" xfId="7954" xr:uid="{00000000-0005-0000-0000-0000391F0000}"/>
    <cellStyle name="Comma 4 2 3 6 2 2 2" xfId="17545" xr:uid="{6FBEEB02-0912-4778-9D1F-057C15FD64A1}"/>
    <cellStyle name="Comma 4 2 3 6 2 3" xfId="13324" xr:uid="{071546EC-C7F2-4264-A306-4A98E8BC6983}"/>
    <cellStyle name="Comma 4 2 3 6 3" xfId="5809" xr:uid="{00000000-0005-0000-0000-0000D8160000}"/>
    <cellStyle name="Comma 4 2 3 6 3 2" xfId="15400" xr:uid="{72C8F205-EAF3-4B69-B0AF-474AA9055473}"/>
    <cellStyle name="Comma 4 2 3 6 4" xfId="11095" xr:uid="{85A86C34-86B8-4DD2-81C0-9CF3D7AEDBB4}"/>
    <cellStyle name="Comma 4 2 3 7" xfId="1916" xr:uid="{00000000-0005-0000-0000-0000A3070000}"/>
    <cellStyle name="Comma 4 2 3 7 2" xfId="4145" xr:uid="{00000000-0005-0000-0000-000058100000}"/>
    <cellStyle name="Comma 4 2 3 7 2 2" xfId="8367" xr:uid="{00000000-0005-0000-0000-0000D6200000}"/>
    <cellStyle name="Comma 4 2 3 7 2 2 2" xfId="17958" xr:uid="{A430FDAB-5155-4973-8B2D-4AD98A43E3CC}"/>
    <cellStyle name="Comma 4 2 3 7 2 3" xfId="13737" xr:uid="{29A5A189-0DB2-45C4-9A77-74B8D27B53C5}"/>
    <cellStyle name="Comma 4 2 3 7 3" xfId="6222" xr:uid="{00000000-0005-0000-0000-000075180000}"/>
    <cellStyle name="Comma 4 2 3 7 3 2" xfId="15813" xr:uid="{F667AD1D-3DF6-46D5-83D2-82ABC12B5527}"/>
    <cellStyle name="Comma 4 2 3 7 4" xfId="11508" xr:uid="{A3259FAE-53D5-443F-9F61-6FCBAE1198DC}"/>
    <cellStyle name="Comma 4 2 3 8" xfId="2351" xr:uid="{00000000-0005-0000-0000-000056090000}"/>
    <cellStyle name="Comma 4 2 3 8 2" xfId="6635" xr:uid="{00000000-0005-0000-0000-0000121A0000}"/>
    <cellStyle name="Comma 4 2 3 8 2 2" xfId="16226" xr:uid="{8C18CBA1-DB47-4623-8AFF-3DBDBFB42226}"/>
    <cellStyle name="Comma 4 2 3 8 3" xfId="11943" xr:uid="{309857D0-DC20-4FDD-A9D0-6418416D7A69}"/>
    <cellStyle name="Comma 4 2 3 9" xfId="2334" xr:uid="{00000000-0005-0000-0000-000045090000}"/>
    <cellStyle name="Comma 4 2 3 9 2" xfId="11926" xr:uid="{9177982E-A7EA-4D6C-B588-9531BBDE7AF8}"/>
    <cellStyle name="Comma 4 2 4" xfId="113" xr:uid="{00000000-0005-0000-0000-00008C000000}"/>
    <cellStyle name="Comma 4 2 4 10" xfId="4573" xr:uid="{00000000-0005-0000-0000-000004120000}"/>
    <cellStyle name="Comma 4 2 4 10 2" xfId="14164" xr:uid="{D2254A0A-AC91-4230-8378-AD38AEF0BA94}"/>
    <cellStyle name="Comma 4 2 4 11" xfId="8819" xr:uid="{00000000-0005-0000-0000-00009A220000}"/>
    <cellStyle name="Comma 4 2 4 12" xfId="9725" xr:uid="{7302FEE6-63C7-4A3D-A0AA-AE2DBE869C0E}"/>
    <cellStyle name="Comma 4 2 4 2" xfId="114" xr:uid="{00000000-0005-0000-0000-00008D000000}"/>
    <cellStyle name="Comma 4 2 4 2 10" xfId="9026" xr:uid="{00000000-0005-0000-0000-000069230000}"/>
    <cellStyle name="Comma 4 2 4 2 11" xfId="9726" xr:uid="{1DFB5414-18AE-420D-A6D5-27BD59B17E2A}"/>
    <cellStyle name="Comma 4 2 4 2 2" xfId="640" xr:uid="{00000000-0005-0000-0000-0000A7020000}"/>
    <cellStyle name="Comma 4 2 4 2 2 2" xfId="2911" xr:uid="{00000000-0005-0000-0000-0000860B0000}"/>
    <cellStyle name="Comma 4 2 4 2 2 2 2" xfId="7133" xr:uid="{00000000-0005-0000-0000-0000041C0000}"/>
    <cellStyle name="Comma 4 2 4 2 2 2 2 2" xfId="16724" xr:uid="{18FE7E15-B083-47CC-9AB4-7480F75A4182}"/>
    <cellStyle name="Comma 4 2 4 2 2 2 3" xfId="12503" xr:uid="{655D811C-9BF3-4446-BF4A-BAE982D7A5C7}"/>
    <cellStyle name="Comma 4 2 4 2 2 3" xfId="4988" xr:uid="{00000000-0005-0000-0000-0000A3130000}"/>
    <cellStyle name="Comma 4 2 4 2 2 3 2" xfId="14579" xr:uid="{AC63FE82-7AFC-4A07-BF03-7EDB81206D6B}"/>
    <cellStyle name="Comma 4 2 4 2 2 4" xfId="9451" xr:uid="{00000000-0005-0000-0000-000012250000}"/>
    <cellStyle name="Comma 4 2 4 2 2 5" xfId="10233" xr:uid="{D41B7A2D-2F35-4C5B-B97F-172BCA769042}"/>
    <cellStyle name="Comma 4 2 4 2 3" xfId="1093" xr:uid="{00000000-0005-0000-0000-00006C040000}"/>
    <cellStyle name="Comma 4 2 4 2 3 2" xfId="3324" xr:uid="{00000000-0005-0000-0000-0000230D0000}"/>
    <cellStyle name="Comma 4 2 4 2 3 2 2" xfId="7546" xr:uid="{00000000-0005-0000-0000-0000A11D0000}"/>
    <cellStyle name="Comma 4 2 4 2 3 2 2 2" xfId="17137" xr:uid="{DA262C1C-63B1-4499-8F30-CDB6A23F229E}"/>
    <cellStyle name="Comma 4 2 4 2 3 2 3" xfId="12916" xr:uid="{7BC71023-DCD0-48AD-B472-4AA5F8663A6A}"/>
    <cellStyle name="Comma 4 2 4 2 3 3" xfId="5401" xr:uid="{00000000-0005-0000-0000-000040150000}"/>
    <cellStyle name="Comma 4 2 4 2 3 3 2" xfId="14992" xr:uid="{5B1BAA4C-7469-449E-839A-C566B46A2BB3}"/>
    <cellStyle name="Comma 4 2 4 2 3 4" xfId="10686" xr:uid="{D0212E32-990D-448B-B5B3-33073F214B84}"/>
    <cellStyle name="Comma 4 2 4 2 4" xfId="1507" xr:uid="{00000000-0005-0000-0000-00000A060000}"/>
    <cellStyle name="Comma 4 2 4 2 4 2" xfId="3737" xr:uid="{00000000-0005-0000-0000-0000C00E0000}"/>
    <cellStyle name="Comma 4 2 4 2 4 2 2" xfId="7959" xr:uid="{00000000-0005-0000-0000-00003E1F0000}"/>
    <cellStyle name="Comma 4 2 4 2 4 2 2 2" xfId="17550" xr:uid="{7D6779A9-AD7D-438F-8622-9CF1E5EB70C3}"/>
    <cellStyle name="Comma 4 2 4 2 4 2 3" xfId="13329" xr:uid="{703F3385-A924-46A1-A095-9650A05981D9}"/>
    <cellStyle name="Comma 4 2 4 2 4 3" xfId="5814" xr:uid="{00000000-0005-0000-0000-0000DD160000}"/>
    <cellStyle name="Comma 4 2 4 2 4 3 2" xfId="15405" xr:uid="{178A969B-966F-48D4-A98D-FA73ED894A67}"/>
    <cellStyle name="Comma 4 2 4 2 4 4" xfId="11100" xr:uid="{C3C9AFA9-C920-4923-8726-9E62D7727E29}"/>
    <cellStyle name="Comma 4 2 4 2 5" xfId="1921" xr:uid="{00000000-0005-0000-0000-0000A8070000}"/>
    <cellStyle name="Comma 4 2 4 2 5 2" xfId="4150" xr:uid="{00000000-0005-0000-0000-00005D100000}"/>
    <cellStyle name="Comma 4 2 4 2 5 2 2" xfId="8372" xr:uid="{00000000-0005-0000-0000-0000DB200000}"/>
    <cellStyle name="Comma 4 2 4 2 5 2 2 2" xfId="17963" xr:uid="{C05352E0-E226-4763-B525-FD03EA9971A3}"/>
    <cellStyle name="Comma 4 2 4 2 5 2 3" xfId="13742" xr:uid="{BD9BABCC-4ABD-4BCA-B015-83398396503D}"/>
    <cellStyle name="Comma 4 2 4 2 5 3" xfId="6227" xr:uid="{00000000-0005-0000-0000-00007A180000}"/>
    <cellStyle name="Comma 4 2 4 2 5 3 2" xfId="15818" xr:uid="{F0EBC0FB-D922-4D95-AB34-1791BEAF731D}"/>
    <cellStyle name="Comma 4 2 4 2 5 4" xfId="11513" xr:uid="{8AB07054-3511-4F00-B9B3-47059309C1E2}"/>
    <cellStyle name="Comma 4 2 4 2 6" xfId="2356" xr:uid="{00000000-0005-0000-0000-00005B090000}"/>
    <cellStyle name="Comma 4 2 4 2 6 2" xfId="6640" xr:uid="{00000000-0005-0000-0000-0000171A0000}"/>
    <cellStyle name="Comma 4 2 4 2 6 2 2" xfId="16231" xr:uid="{22B89789-F6EC-47E7-B467-FF325FB831C6}"/>
    <cellStyle name="Comma 4 2 4 2 6 3" xfId="11948" xr:uid="{A8277009-5171-4BEB-B3DF-436E4621684E}"/>
    <cellStyle name="Comma 4 2 4 2 7" xfId="2329" xr:uid="{00000000-0005-0000-0000-000040090000}"/>
    <cellStyle name="Comma 4 2 4 2 7 2" xfId="11921" xr:uid="{A4AAD15A-55E3-4A30-8FC2-8E43AD6921E9}"/>
    <cellStyle name="Comma 4 2 4 2 8" xfId="2734" xr:uid="{00000000-0005-0000-0000-0000D50A0000}"/>
    <cellStyle name="Comma 4 2 4 2 8 2" xfId="6957" xr:uid="{00000000-0005-0000-0000-0000541B0000}"/>
    <cellStyle name="Comma 4 2 4 2 8 2 2" xfId="16548" xr:uid="{8B464268-A590-4FC7-9866-ADCDC63913B4}"/>
    <cellStyle name="Comma 4 2 4 2 8 3" xfId="12326" xr:uid="{85DD2D03-574A-427C-B920-321600E6E968}"/>
    <cellStyle name="Comma 4 2 4 2 9" xfId="4574" xr:uid="{00000000-0005-0000-0000-000005120000}"/>
    <cellStyle name="Comma 4 2 4 2 9 2" xfId="14165" xr:uid="{CDBBAC67-6DEF-4FE5-B9B9-46CCB02390A7}"/>
    <cellStyle name="Comma 4 2 4 3" xfId="639" xr:uid="{00000000-0005-0000-0000-0000A6020000}"/>
    <cellStyle name="Comma 4 2 4 3 2" xfId="2910" xr:uid="{00000000-0005-0000-0000-0000850B0000}"/>
    <cellStyle name="Comma 4 2 4 3 2 2" xfId="7132" xr:uid="{00000000-0005-0000-0000-0000031C0000}"/>
    <cellStyle name="Comma 4 2 4 3 2 2 2" xfId="16723" xr:uid="{A1F16133-BAF0-439C-895F-85EF94A4FDFA}"/>
    <cellStyle name="Comma 4 2 4 3 2 3" xfId="12502" xr:uid="{71AB2E0E-751A-409A-A7DB-E66F9FA1EB56}"/>
    <cellStyle name="Comma 4 2 4 3 3" xfId="4987" xr:uid="{00000000-0005-0000-0000-0000A2130000}"/>
    <cellStyle name="Comma 4 2 4 3 3 2" xfId="14578" xr:uid="{E8B8F578-B67F-459B-BAC7-01924A7B1A01}"/>
    <cellStyle name="Comma 4 2 4 3 4" xfId="9244" xr:uid="{00000000-0005-0000-0000-000043240000}"/>
    <cellStyle name="Comma 4 2 4 3 5" xfId="10232" xr:uid="{6D952FE3-F97F-4A8D-AE78-388057928AC3}"/>
    <cellStyle name="Comma 4 2 4 4" xfId="1092" xr:uid="{00000000-0005-0000-0000-00006B040000}"/>
    <cellStyle name="Comma 4 2 4 4 2" xfId="3323" xr:uid="{00000000-0005-0000-0000-0000220D0000}"/>
    <cellStyle name="Comma 4 2 4 4 2 2" xfId="7545" xr:uid="{00000000-0005-0000-0000-0000A01D0000}"/>
    <cellStyle name="Comma 4 2 4 4 2 2 2" xfId="17136" xr:uid="{DA968930-DB17-497C-A488-9B65BAE53A96}"/>
    <cellStyle name="Comma 4 2 4 4 2 3" xfId="12915" xr:uid="{489ABA84-F7E0-4AFD-B6E0-1365DA26DC8B}"/>
    <cellStyle name="Comma 4 2 4 4 3" xfId="5400" xr:uid="{00000000-0005-0000-0000-00003F150000}"/>
    <cellStyle name="Comma 4 2 4 4 3 2" xfId="14991" xr:uid="{6A495DB7-7A25-491B-BEDC-4FB80ED36A29}"/>
    <cellStyle name="Comma 4 2 4 4 4" xfId="10685" xr:uid="{496E440C-8394-48E4-B6D0-2BA219760ABE}"/>
    <cellStyle name="Comma 4 2 4 5" xfId="1506" xr:uid="{00000000-0005-0000-0000-000009060000}"/>
    <cellStyle name="Comma 4 2 4 5 2" xfId="3736" xr:uid="{00000000-0005-0000-0000-0000BF0E0000}"/>
    <cellStyle name="Comma 4 2 4 5 2 2" xfId="7958" xr:uid="{00000000-0005-0000-0000-00003D1F0000}"/>
    <cellStyle name="Comma 4 2 4 5 2 2 2" xfId="17549" xr:uid="{CCD53859-5C85-4613-8A01-02D9FC613AF1}"/>
    <cellStyle name="Comma 4 2 4 5 2 3" xfId="13328" xr:uid="{CD5C21EE-C317-4E60-A8C3-E5A8FE11ECC1}"/>
    <cellStyle name="Comma 4 2 4 5 3" xfId="5813" xr:uid="{00000000-0005-0000-0000-0000DC160000}"/>
    <cellStyle name="Comma 4 2 4 5 3 2" xfId="15404" xr:uid="{85BE81F8-B573-4581-B481-613750C97997}"/>
    <cellStyle name="Comma 4 2 4 5 4" xfId="11099" xr:uid="{AAF9D96E-F4BE-4404-B9B5-441B95D75EEA}"/>
    <cellStyle name="Comma 4 2 4 6" xfId="1920" xr:uid="{00000000-0005-0000-0000-0000A7070000}"/>
    <cellStyle name="Comma 4 2 4 6 2" xfId="4149" xr:uid="{00000000-0005-0000-0000-00005C100000}"/>
    <cellStyle name="Comma 4 2 4 6 2 2" xfId="8371" xr:uid="{00000000-0005-0000-0000-0000DA200000}"/>
    <cellStyle name="Comma 4 2 4 6 2 2 2" xfId="17962" xr:uid="{1AC1DD68-C509-40E4-8E7A-3426530D863C}"/>
    <cellStyle name="Comma 4 2 4 6 2 3" xfId="13741" xr:uid="{35CC9315-2E1F-499D-94D7-9BD1B62C35F7}"/>
    <cellStyle name="Comma 4 2 4 6 3" xfId="6226" xr:uid="{00000000-0005-0000-0000-000079180000}"/>
    <cellStyle name="Comma 4 2 4 6 3 2" xfId="15817" xr:uid="{C4B01D1B-6E69-4D71-8364-3A626089AAD0}"/>
    <cellStyle name="Comma 4 2 4 6 4" xfId="11512" xr:uid="{D564B2AB-574C-47F8-831B-F9BEEEE6E18C}"/>
    <cellStyle name="Comma 4 2 4 7" xfId="2355" xr:uid="{00000000-0005-0000-0000-00005A090000}"/>
    <cellStyle name="Comma 4 2 4 7 2" xfId="6639" xr:uid="{00000000-0005-0000-0000-0000161A0000}"/>
    <cellStyle name="Comma 4 2 4 7 2 2" xfId="16230" xr:uid="{99F24106-03F8-4DA1-A1EA-E7DD50ED1FEA}"/>
    <cellStyle name="Comma 4 2 4 7 3" xfId="11947" xr:uid="{2B6EFE3A-8794-4792-BFE5-4B5365F69824}"/>
    <cellStyle name="Comma 4 2 4 8" xfId="2330" xr:uid="{00000000-0005-0000-0000-000041090000}"/>
    <cellStyle name="Comma 4 2 4 8 2" xfId="11922" xr:uid="{1610FFD9-5468-4596-A4C9-FAD6645D27D6}"/>
    <cellStyle name="Comma 4 2 4 9" xfId="2733" xr:uid="{00000000-0005-0000-0000-0000D40A0000}"/>
    <cellStyle name="Comma 4 2 4 9 2" xfId="6956" xr:uid="{00000000-0005-0000-0000-0000531B0000}"/>
    <cellStyle name="Comma 4 2 4 9 2 2" xfId="16547" xr:uid="{6F1CFFFB-69CB-4258-838A-1E7D52E7C0C4}"/>
    <cellStyle name="Comma 4 2 4 9 3" xfId="12325" xr:uid="{B46249AC-CE18-4EC3-97F1-BDC5A478EDF9}"/>
    <cellStyle name="Comma 4 2 5" xfId="115" xr:uid="{00000000-0005-0000-0000-00008E000000}"/>
    <cellStyle name="Comma 4 2 5 10" xfId="8935" xr:uid="{00000000-0005-0000-0000-00000E230000}"/>
    <cellStyle name="Comma 4 2 5 11" xfId="9727" xr:uid="{8E053B64-ED37-417D-830F-AFAFEB0F9549}"/>
    <cellStyle name="Comma 4 2 5 2" xfId="641" xr:uid="{00000000-0005-0000-0000-0000A8020000}"/>
    <cellStyle name="Comma 4 2 5 2 2" xfId="2912" xr:uid="{00000000-0005-0000-0000-0000870B0000}"/>
    <cellStyle name="Comma 4 2 5 2 2 2" xfId="7134" xr:uid="{00000000-0005-0000-0000-0000051C0000}"/>
    <cellStyle name="Comma 4 2 5 2 2 2 2" xfId="16725" xr:uid="{AA5A0C58-9F70-4E48-BB01-33EACE7B0E15}"/>
    <cellStyle name="Comma 4 2 5 2 2 3" xfId="12504" xr:uid="{08C24634-5CC6-4FAF-A1C9-476E5D3BEA3A}"/>
    <cellStyle name="Comma 4 2 5 2 3" xfId="4989" xr:uid="{00000000-0005-0000-0000-0000A4130000}"/>
    <cellStyle name="Comma 4 2 5 2 3 2" xfId="14580" xr:uid="{5CB5E728-4BA7-4556-ACF8-F85E9823B4BA}"/>
    <cellStyle name="Comma 4 2 5 2 4" xfId="9360" xr:uid="{00000000-0005-0000-0000-0000B7240000}"/>
    <cellStyle name="Comma 4 2 5 2 5" xfId="10234" xr:uid="{1DF97EBB-5F76-44F6-A726-5ADA7A319A80}"/>
    <cellStyle name="Comma 4 2 5 3" xfId="1094" xr:uid="{00000000-0005-0000-0000-00006D040000}"/>
    <cellStyle name="Comma 4 2 5 3 2" xfId="3325" xr:uid="{00000000-0005-0000-0000-0000240D0000}"/>
    <cellStyle name="Comma 4 2 5 3 2 2" xfId="7547" xr:uid="{00000000-0005-0000-0000-0000A21D0000}"/>
    <cellStyle name="Comma 4 2 5 3 2 2 2" xfId="17138" xr:uid="{9FD05941-78EE-485D-BE3F-C58CEEC57A99}"/>
    <cellStyle name="Comma 4 2 5 3 2 3" xfId="12917" xr:uid="{B58B55F7-81E2-4DFC-9EB8-FC1B69BDD567}"/>
    <cellStyle name="Comma 4 2 5 3 3" xfId="5402" xr:uid="{00000000-0005-0000-0000-000041150000}"/>
    <cellStyle name="Comma 4 2 5 3 3 2" xfId="14993" xr:uid="{211B78F3-0C2C-44F7-9B78-30DE29D7298B}"/>
    <cellStyle name="Comma 4 2 5 3 4" xfId="10687" xr:uid="{946ACA0A-33D8-43E3-94F6-ABD5F8BC1C57}"/>
    <cellStyle name="Comma 4 2 5 4" xfId="1508" xr:uid="{00000000-0005-0000-0000-00000B060000}"/>
    <cellStyle name="Comma 4 2 5 4 2" xfId="3738" xr:uid="{00000000-0005-0000-0000-0000C10E0000}"/>
    <cellStyle name="Comma 4 2 5 4 2 2" xfId="7960" xr:uid="{00000000-0005-0000-0000-00003F1F0000}"/>
    <cellStyle name="Comma 4 2 5 4 2 2 2" xfId="17551" xr:uid="{66BC5BB2-3D55-426F-A4EF-D33EF7CE821A}"/>
    <cellStyle name="Comma 4 2 5 4 2 3" xfId="13330" xr:uid="{93F9F1F2-74EB-4E9B-9FF3-E2FE39F79E25}"/>
    <cellStyle name="Comma 4 2 5 4 3" xfId="5815" xr:uid="{00000000-0005-0000-0000-0000DE160000}"/>
    <cellStyle name="Comma 4 2 5 4 3 2" xfId="15406" xr:uid="{E10EAC8D-F71C-458C-B449-9E25DB2C3408}"/>
    <cellStyle name="Comma 4 2 5 4 4" xfId="11101" xr:uid="{32D5C736-AC3B-4D2F-A783-5384AB142178}"/>
    <cellStyle name="Comma 4 2 5 5" xfId="1922" xr:uid="{00000000-0005-0000-0000-0000A9070000}"/>
    <cellStyle name="Comma 4 2 5 5 2" xfId="4151" xr:uid="{00000000-0005-0000-0000-00005E100000}"/>
    <cellStyle name="Comma 4 2 5 5 2 2" xfId="8373" xr:uid="{00000000-0005-0000-0000-0000DC200000}"/>
    <cellStyle name="Comma 4 2 5 5 2 2 2" xfId="17964" xr:uid="{9ED84CB9-00A4-4521-8F9D-A10D1C1CE8ED}"/>
    <cellStyle name="Comma 4 2 5 5 2 3" xfId="13743" xr:uid="{BD086C43-AAA5-47CB-86F3-512C703B4531}"/>
    <cellStyle name="Comma 4 2 5 5 3" xfId="6228" xr:uid="{00000000-0005-0000-0000-00007B180000}"/>
    <cellStyle name="Comma 4 2 5 5 3 2" xfId="15819" xr:uid="{1D5A5D61-C9A9-4FA8-8023-685DA5F7E4EF}"/>
    <cellStyle name="Comma 4 2 5 5 4" xfId="11514" xr:uid="{808C3CB6-6C0B-4B25-BC33-0799D8596AEC}"/>
    <cellStyle name="Comma 4 2 5 6" xfId="2357" xr:uid="{00000000-0005-0000-0000-00005C090000}"/>
    <cellStyle name="Comma 4 2 5 6 2" xfId="6641" xr:uid="{00000000-0005-0000-0000-0000181A0000}"/>
    <cellStyle name="Comma 4 2 5 6 2 2" xfId="16232" xr:uid="{9B5EA3D6-362C-4945-86E4-7D404D296056}"/>
    <cellStyle name="Comma 4 2 5 6 3" xfId="11949" xr:uid="{61F90477-2495-4654-93D5-4FC65F60798D}"/>
    <cellStyle name="Comma 4 2 5 7" xfId="2328" xr:uid="{00000000-0005-0000-0000-00003F090000}"/>
    <cellStyle name="Comma 4 2 5 7 2" xfId="11920" xr:uid="{1B20620D-4798-442B-AE93-1CF8C93CB4B8}"/>
    <cellStyle name="Comma 4 2 5 8" xfId="2735" xr:uid="{00000000-0005-0000-0000-0000D60A0000}"/>
    <cellStyle name="Comma 4 2 5 8 2" xfId="6958" xr:uid="{00000000-0005-0000-0000-0000551B0000}"/>
    <cellStyle name="Comma 4 2 5 8 2 2" xfId="16549" xr:uid="{FA1BA7E9-DD9E-48F7-A251-8A94BA145931}"/>
    <cellStyle name="Comma 4 2 5 8 3" xfId="12327" xr:uid="{2DB5B10D-6007-449C-8CC2-1EA836D7E6E6}"/>
    <cellStyle name="Comma 4 2 5 9" xfId="4575" xr:uid="{00000000-0005-0000-0000-000006120000}"/>
    <cellStyle name="Comma 4 2 5 9 2" xfId="14166" xr:uid="{71927D52-2073-4210-A2D6-AF32211FFD06}"/>
    <cellStyle name="Comma 4 2 6" xfId="116" xr:uid="{00000000-0005-0000-0000-00008F000000}"/>
    <cellStyle name="Comma 4 2 6 10" xfId="9138" xr:uid="{00000000-0005-0000-0000-0000D9230000}"/>
    <cellStyle name="Comma 4 2 6 11" xfId="9728" xr:uid="{9FD305E5-CE60-4777-B72B-BC87020A416C}"/>
    <cellStyle name="Comma 4 2 6 2" xfId="642" xr:uid="{00000000-0005-0000-0000-0000A9020000}"/>
    <cellStyle name="Comma 4 2 6 2 2" xfId="2913" xr:uid="{00000000-0005-0000-0000-0000880B0000}"/>
    <cellStyle name="Comma 4 2 6 2 2 2" xfId="7135" xr:uid="{00000000-0005-0000-0000-0000061C0000}"/>
    <cellStyle name="Comma 4 2 6 2 2 2 2" xfId="16726" xr:uid="{93E46D38-72BA-4770-B3DA-AAF2D78DA3C2}"/>
    <cellStyle name="Comma 4 2 6 2 2 3" xfId="12505" xr:uid="{3E0C5B1E-4F29-4B94-A47C-703DCC62EE32}"/>
    <cellStyle name="Comma 4 2 6 2 3" xfId="4990" xr:uid="{00000000-0005-0000-0000-0000A5130000}"/>
    <cellStyle name="Comma 4 2 6 2 3 2" xfId="14581" xr:uid="{3E31FC5D-0492-4264-AA56-08381BEE655A}"/>
    <cellStyle name="Comma 4 2 6 2 4" xfId="9555" xr:uid="{00000000-0005-0000-0000-00007A250000}"/>
    <cellStyle name="Comma 4 2 6 2 5" xfId="10235" xr:uid="{3BCC0CD6-C9CF-4BC7-98B6-952E6D1FE893}"/>
    <cellStyle name="Comma 4 2 6 3" xfId="1095" xr:uid="{00000000-0005-0000-0000-00006E040000}"/>
    <cellStyle name="Comma 4 2 6 3 2" xfId="3326" xr:uid="{00000000-0005-0000-0000-0000250D0000}"/>
    <cellStyle name="Comma 4 2 6 3 2 2" xfId="7548" xr:uid="{00000000-0005-0000-0000-0000A31D0000}"/>
    <cellStyle name="Comma 4 2 6 3 2 2 2" xfId="17139" xr:uid="{C0DB826C-6DB7-4189-8D98-BB74BAF49B6E}"/>
    <cellStyle name="Comma 4 2 6 3 2 3" xfId="12918" xr:uid="{B6F9F5C1-6701-459E-8FDF-7CF3A46786F3}"/>
    <cellStyle name="Comma 4 2 6 3 3" xfId="5403" xr:uid="{00000000-0005-0000-0000-000042150000}"/>
    <cellStyle name="Comma 4 2 6 3 3 2" xfId="14994" xr:uid="{883F3A4A-18E6-420A-84E5-BA766D8B4F4B}"/>
    <cellStyle name="Comma 4 2 6 3 4" xfId="10688" xr:uid="{2F896598-63E1-40DF-B025-74597539D971}"/>
    <cellStyle name="Comma 4 2 6 4" xfId="1509" xr:uid="{00000000-0005-0000-0000-00000C060000}"/>
    <cellStyle name="Comma 4 2 6 4 2" xfId="3739" xr:uid="{00000000-0005-0000-0000-0000C20E0000}"/>
    <cellStyle name="Comma 4 2 6 4 2 2" xfId="7961" xr:uid="{00000000-0005-0000-0000-0000401F0000}"/>
    <cellStyle name="Comma 4 2 6 4 2 2 2" xfId="17552" xr:uid="{8253F451-4FB1-44B8-989A-C127972033C1}"/>
    <cellStyle name="Comma 4 2 6 4 2 3" xfId="13331" xr:uid="{3AC7EAD6-64B4-47CD-9ACE-D5DF5F88A11E}"/>
    <cellStyle name="Comma 4 2 6 4 3" xfId="5816" xr:uid="{00000000-0005-0000-0000-0000DF160000}"/>
    <cellStyle name="Comma 4 2 6 4 3 2" xfId="15407" xr:uid="{47CF8F1B-DD2A-486E-AE0C-2B7EBE4735B7}"/>
    <cellStyle name="Comma 4 2 6 4 4" xfId="11102" xr:uid="{791E5EB7-1173-4EF6-9B6F-569BDA227702}"/>
    <cellStyle name="Comma 4 2 6 5" xfId="1923" xr:uid="{00000000-0005-0000-0000-0000AA070000}"/>
    <cellStyle name="Comma 4 2 6 5 2" xfId="4152" xr:uid="{00000000-0005-0000-0000-00005F100000}"/>
    <cellStyle name="Comma 4 2 6 5 2 2" xfId="8374" xr:uid="{00000000-0005-0000-0000-0000DD200000}"/>
    <cellStyle name="Comma 4 2 6 5 2 2 2" xfId="17965" xr:uid="{CAFB6638-1A7D-451E-9920-3C67DF7BAD79}"/>
    <cellStyle name="Comma 4 2 6 5 2 3" xfId="13744" xr:uid="{28CC0BB5-EE7A-4A8F-A787-34C029377D61}"/>
    <cellStyle name="Comma 4 2 6 5 3" xfId="6229" xr:uid="{00000000-0005-0000-0000-00007C180000}"/>
    <cellStyle name="Comma 4 2 6 5 3 2" xfId="15820" xr:uid="{DC8DDC9C-0BA4-40E1-BF8F-2909C534D0DE}"/>
    <cellStyle name="Comma 4 2 6 5 4" xfId="11515" xr:uid="{7713E90B-CA60-4C44-81AC-0D0CF6743AA5}"/>
    <cellStyle name="Comma 4 2 6 6" xfId="2358" xr:uid="{00000000-0005-0000-0000-00005D090000}"/>
    <cellStyle name="Comma 4 2 6 6 2" xfId="6642" xr:uid="{00000000-0005-0000-0000-0000191A0000}"/>
    <cellStyle name="Comma 4 2 6 6 2 2" xfId="16233" xr:uid="{45E8FF43-6739-4892-9191-21C0EA16C6B0}"/>
    <cellStyle name="Comma 4 2 6 6 3" xfId="11950" xr:uid="{484982A8-8A58-48B3-B4EB-0CE3196F7A44}"/>
    <cellStyle name="Comma 4 2 6 7" xfId="2327" xr:uid="{00000000-0005-0000-0000-00003E090000}"/>
    <cellStyle name="Comma 4 2 6 7 2" xfId="11919" xr:uid="{48554ACC-FA3B-4797-A189-4B6EEEDC4DFD}"/>
    <cellStyle name="Comma 4 2 6 8" xfId="2736" xr:uid="{00000000-0005-0000-0000-0000D70A0000}"/>
    <cellStyle name="Comma 4 2 6 8 2" xfId="6959" xr:uid="{00000000-0005-0000-0000-0000561B0000}"/>
    <cellStyle name="Comma 4 2 6 8 2 2" xfId="16550" xr:uid="{A92D2190-F7D6-44BB-AC4E-9AEFCA508704}"/>
    <cellStyle name="Comma 4 2 6 8 3" xfId="12328" xr:uid="{621021C9-501A-4641-8BD0-C5D60CAB8941}"/>
    <cellStyle name="Comma 4 2 6 9" xfId="4576" xr:uid="{00000000-0005-0000-0000-000007120000}"/>
    <cellStyle name="Comma 4 2 6 9 2" xfId="14167" xr:uid="{76763C48-0CA8-402A-87D3-68150A4944E0}"/>
    <cellStyle name="Comma 4 2 7" xfId="9151" xr:uid="{00000000-0005-0000-0000-0000E6230000}"/>
    <cellStyle name="Comma 4 2 8" xfId="8716" xr:uid="{00000000-0005-0000-0000-000033220000}"/>
    <cellStyle name="Comma 4 2 9" xfId="9711" xr:uid="{ADA72477-7C3B-4557-A630-988D76C3289D}"/>
    <cellStyle name="Comma 4 3" xfId="117" xr:uid="{00000000-0005-0000-0000-000090000000}"/>
    <cellStyle name="Comma 4 3 2" xfId="118" xr:uid="{00000000-0005-0000-0000-000091000000}"/>
    <cellStyle name="Comma 4 3 2 10" xfId="2737" xr:uid="{00000000-0005-0000-0000-0000D80A0000}"/>
    <cellStyle name="Comma 4 3 2 10 2" xfId="6960" xr:uid="{00000000-0005-0000-0000-0000571B0000}"/>
    <cellStyle name="Comma 4 3 2 10 2 2" xfId="16551" xr:uid="{4AD464D4-480C-4EDC-8E92-225830376CC9}"/>
    <cellStyle name="Comma 4 3 2 10 3" xfId="12329" xr:uid="{3E54C431-5963-49CB-B802-09667FA0E26F}"/>
    <cellStyle name="Comma 4 3 2 11" xfId="4577" xr:uid="{00000000-0005-0000-0000-000008120000}"/>
    <cellStyle name="Comma 4 3 2 11 2" xfId="14168" xr:uid="{60849DAB-F0DE-413A-BC01-EFB182ED2881}"/>
    <cellStyle name="Comma 4 3 2 12" xfId="8768" xr:uid="{00000000-0005-0000-0000-000067220000}"/>
    <cellStyle name="Comma 4 3 2 13" xfId="9730" xr:uid="{CC2AB79B-C6D4-4780-8D56-843E00D35836}"/>
    <cellStyle name="Comma 4 3 2 2" xfId="119" xr:uid="{00000000-0005-0000-0000-000092000000}"/>
    <cellStyle name="Comma 4 3 2 2 10" xfId="4578" xr:uid="{00000000-0005-0000-0000-000009120000}"/>
    <cellStyle name="Comma 4 3 2 2 10 2" xfId="14169" xr:uid="{17B79EF0-F2DD-4A4E-99BC-159543933C29}"/>
    <cellStyle name="Comma 4 3 2 2 11" xfId="8871" xr:uid="{00000000-0005-0000-0000-0000CE220000}"/>
    <cellStyle name="Comma 4 3 2 2 12" xfId="9731" xr:uid="{1A25EB31-DB0E-410B-8AA8-8634C5063370}"/>
    <cellStyle name="Comma 4 3 2 2 2" xfId="120" xr:uid="{00000000-0005-0000-0000-000093000000}"/>
    <cellStyle name="Comma 4 3 2 2 2 10" xfId="9078" xr:uid="{00000000-0005-0000-0000-00009D230000}"/>
    <cellStyle name="Comma 4 3 2 2 2 11" xfId="9732" xr:uid="{4CEB4067-5541-4F07-AFA8-D4084373B333}"/>
    <cellStyle name="Comma 4 3 2 2 2 2" xfId="645" xr:uid="{00000000-0005-0000-0000-0000AC020000}"/>
    <cellStyle name="Comma 4 3 2 2 2 2 2" xfId="2916" xr:uid="{00000000-0005-0000-0000-00008B0B0000}"/>
    <cellStyle name="Comma 4 3 2 2 2 2 2 2" xfId="7138" xr:uid="{00000000-0005-0000-0000-0000091C0000}"/>
    <cellStyle name="Comma 4 3 2 2 2 2 2 2 2" xfId="16729" xr:uid="{C1FAA48A-4F9B-401C-8B70-29E3E0B25281}"/>
    <cellStyle name="Comma 4 3 2 2 2 2 2 3" xfId="12508" xr:uid="{0974BA16-9971-4B8A-9697-78CFEA07DAB4}"/>
    <cellStyle name="Comma 4 3 2 2 2 2 3" xfId="4993" xr:uid="{00000000-0005-0000-0000-0000A8130000}"/>
    <cellStyle name="Comma 4 3 2 2 2 2 3 2" xfId="14584" xr:uid="{40805895-56DA-4169-A8E6-E9FF204BFE6F}"/>
    <cellStyle name="Comma 4 3 2 2 2 2 4" xfId="9503" xr:uid="{00000000-0005-0000-0000-000046250000}"/>
    <cellStyle name="Comma 4 3 2 2 2 2 5" xfId="10238" xr:uid="{9838897D-9C15-4539-ABE7-C40D35047E34}"/>
    <cellStyle name="Comma 4 3 2 2 2 3" xfId="1098" xr:uid="{00000000-0005-0000-0000-000071040000}"/>
    <cellStyle name="Comma 4 3 2 2 2 3 2" xfId="3329" xr:uid="{00000000-0005-0000-0000-0000280D0000}"/>
    <cellStyle name="Comma 4 3 2 2 2 3 2 2" xfId="7551" xr:uid="{00000000-0005-0000-0000-0000A61D0000}"/>
    <cellStyle name="Comma 4 3 2 2 2 3 2 2 2" xfId="17142" xr:uid="{4FFC67E2-961A-4003-A15C-FF3CB5421C20}"/>
    <cellStyle name="Comma 4 3 2 2 2 3 2 3" xfId="12921" xr:uid="{68588896-43FE-44F0-B124-893A3E2FCF4C}"/>
    <cellStyle name="Comma 4 3 2 2 2 3 3" xfId="5406" xr:uid="{00000000-0005-0000-0000-000045150000}"/>
    <cellStyle name="Comma 4 3 2 2 2 3 3 2" xfId="14997" xr:uid="{E9459917-23FA-46C4-B51C-2DEF15B4B515}"/>
    <cellStyle name="Comma 4 3 2 2 2 3 4" xfId="10691" xr:uid="{E7B679FB-DEA6-4752-B8DB-630AE5F580AD}"/>
    <cellStyle name="Comma 4 3 2 2 2 4" xfId="1512" xr:uid="{00000000-0005-0000-0000-00000F060000}"/>
    <cellStyle name="Comma 4 3 2 2 2 4 2" xfId="3742" xr:uid="{00000000-0005-0000-0000-0000C50E0000}"/>
    <cellStyle name="Comma 4 3 2 2 2 4 2 2" xfId="7964" xr:uid="{00000000-0005-0000-0000-0000431F0000}"/>
    <cellStyle name="Comma 4 3 2 2 2 4 2 2 2" xfId="17555" xr:uid="{4BB93F40-7276-4E37-99E9-069B30AD21ED}"/>
    <cellStyle name="Comma 4 3 2 2 2 4 2 3" xfId="13334" xr:uid="{9FF1C3E9-7E85-49F2-BB84-D6D3BC504B6A}"/>
    <cellStyle name="Comma 4 3 2 2 2 4 3" xfId="5819" xr:uid="{00000000-0005-0000-0000-0000E2160000}"/>
    <cellStyle name="Comma 4 3 2 2 2 4 3 2" xfId="15410" xr:uid="{729EAE67-AACE-4562-966D-D25F9EE147D3}"/>
    <cellStyle name="Comma 4 3 2 2 2 4 4" xfId="11105" xr:uid="{DE472325-9E19-46EE-9F30-06CC6F371F25}"/>
    <cellStyle name="Comma 4 3 2 2 2 5" xfId="1926" xr:uid="{00000000-0005-0000-0000-0000AD070000}"/>
    <cellStyle name="Comma 4 3 2 2 2 5 2" xfId="4155" xr:uid="{00000000-0005-0000-0000-000062100000}"/>
    <cellStyle name="Comma 4 3 2 2 2 5 2 2" xfId="8377" xr:uid="{00000000-0005-0000-0000-0000E0200000}"/>
    <cellStyle name="Comma 4 3 2 2 2 5 2 2 2" xfId="17968" xr:uid="{6EFA3DA6-9FF6-497B-BC04-078597FD5044}"/>
    <cellStyle name="Comma 4 3 2 2 2 5 2 3" xfId="13747" xr:uid="{3A5CE483-841A-4EB5-B38C-0B5E6BB45918}"/>
    <cellStyle name="Comma 4 3 2 2 2 5 3" xfId="6232" xr:uid="{00000000-0005-0000-0000-00007F180000}"/>
    <cellStyle name="Comma 4 3 2 2 2 5 3 2" xfId="15823" xr:uid="{B31FA6F4-AEB7-4CDB-833E-3337841C1C1D}"/>
    <cellStyle name="Comma 4 3 2 2 2 5 4" xfId="11518" xr:uid="{DF50ADB9-B2BD-4CAB-9BAE-B8C7B232F641}"/>
    <cellStyle name="Comma 4 3 2 2 2 6" xfId="2361" xr:uid="{00000000-0005-0000-0000-000060090000}"/>
    <cellStyle name="Comma 4 3 2 2 2 6 2" xfId="6645" xr:uid="{00000000-0005-0000-0000-00001C1A0000}"/>
    <cellStyle name="Comma 4 3 2 2 2 6 2 2" xfId="16236" xr:uid="{A378A401-97AE-44B8-AA3D-BA50C517FA59}"/>
    <cellStyle name="Comma 4 3 2 2 2 6 3" xfId="11953" xr:uid="{28525D64-2E4A-48B8-8126-2DE9E0241992}"/>
    <cellStyle name="Comma 4 3 2 2 2 7" xfId="2324" xr:uid="{00000000-0005-0000-0000-00003B090000}"/>
    <cellStyle name="Comma 4 3 2 2 2 7 2" xfId="11916" xr:uid="{55A6C8CE-2E1C-4A14-ADF4-974745271C67}"/>
    <cellStyle name="Comma 4 3 2 2 2 8" xfId="2739" xr:uid="{00000000-0005-0000-0000-0000DA0A0000}"/>
    <cellStyle name="Comma 4 3 2 2 2 8 2" xfId="6962" xr:uid="{00000000-0005-0000-0000-0000591B0000}"/>
    <cellStyle name="Comma 4 3 2 2 2 8 2 2" xfId="16553" xr:uid="{46CCC2F2-851B-499C-B983-D097D6930034}"/>
    <cellStyle name="Comma 4 3 2 2 2 8 3" xfId="12331" xr:uid="{2092C6D4-3F49-48A8-90AB-29B52551E8D6}"/>
    <cellStyle name="Comma 4 3 2 2 2 9" xfId="4579" xr:uid="{00000000-0005-0000-0000-00000A120000}"/>
    <cellStyle name="Comma 4 3 2 2 2 9 2" xfId="14170" xr:uid="{566CAE35-A37D-4295-B986-A8E8053EC8B6}"/>
    <cellStyle name="Comma 4 3 2 2 3" xfId="644" xr:uid="{00000000-0005-0000-0000-0000AB020000}"/>
    <cellStyle name="Comma 4 3 2 2 3 2" xfId="2915" xr:uid="{00000000-0005-0000-0000-00008A0B0000}"/>
    <cellStyle name="Comma 4 3 2 2 3 2 2" xfId="7137" xr:uid="{00000000-0005-0000-0000-0000081C0000}"/>
    <cellStyle name="Comma 4 3 2 2 3 2 2 2" xfId="16728" xr:uid="{A5B1867F-9CE8-4B2A-B3DC-60A2AB767FAC}"/>
    <cellStyle name="Comma 4 3 2 2 3 2 3" xfId="12507" xr:uid="{64C4B824-1780-4B92-966B-5756365DE28B}"/>
    <cellStyle name="Comma 4 3 2 2 3 3" xfId="4992" xr:uid="{00000000-0005-0000-0000-0000A7130000}"/>
    <cellStyle name="Comma 4 3 2 2 3 3 2" xfId="14583" xr:uid="{F765CEC2-0A6F-46BB-8FED-A362BDBD138B}"/>
    <cellStyle name="Comma 4 3 2 2 3 4" xfId="9296" xr:uid="{00000000-0005-0000-0000-000077240000}"/>
    <cellStyle name="Comma 4 3 2 2 3 5" xfId="10237" xr:uid="{70715B72-5AA1-4FBB-82C5-DB9912F0FFB7}"/>
    <cellStyle name="Comma 4 3 2 2 4" xfId="1097" xr:uid="{00000000-0005-0000-0000-000070040000}"/>
    <cellStyle name="Comma 4 3 2 2 4 2" xfId="3328" xr:uid="{00000000-0005-0000-0000-0000270D0000}"/>
    <cellStyle name="Comma 4 3 2 2 4 2 2" xfId="7550" xr:uid="{00000000-0005-0000-0000-0000A51D0000}"/>
    <cellStyle name="Comma 4 3 2 2 4 2 2 2" xfId="17141" xr:uid="{6AA7AFB5-3B73-4196-85DC-C0F902CA8D93}"/>
    <cellStyle name="Comma 4 3 2 2 4 2 3" xfId="12920" xr:uid="{56088FEA-F47E-42C4-856F-FA1DD8608904}"/>
    <cellStyle name="Comma 4 3 2 2 4 3" xfId="5405" xr:uid="{00000000-0005-0000-0000-000044150000}"/>
    <cellStyle name="Comma 4 3 2 2 4 3 2" xfId="14996" xr:uid="{FBAA31A0-362F-41A0-8755-A0959650D645}"/>
    <cellStyle name="Comma 4 3 2 2 4 4" xfId="10690" xr:uid="{047777F7-1DAE-4845-9730-A85F7587E353}"/>
    <cellStyle name="Comma 4 3 2 2 5" xfId="1511" xr:uid="{00000000-0005-0000-0000-00000E060000}"/>
    <cellStyle name="Comma 4 3 2 2 5 2" xfId="3741" xr:uid="{00000000-0005-0000-0000-0000C40E0000}"/>
    <cellStyle name="Comma 4 3 2 2 5 2 2" xfId="7963" xr:uid="{00000000-0005-0000-0000-0000421F0000}"/>
    <cellStyle name="Comma 4 3 2 2 5 2 2 2" xfId="17554" xr:uid="{0BFD3D64-3A4F-4C23-96D5-F9217C3C54C6}"/>
    <cellStyle name="Comma 4 3 2 2 5 2 3" xfId="13333" xr:uid="{3CFF959D-7D93-442B-BA68-3851877C1285}"/>
    <cellStyle name="Comma 4 3 2 2 5 3" xfId="5818" xr:uid="{00000000-0005-0000-0000-0000E1160000}"/>
    <cellStyle name="Comma 4 3 2 2 5 3 2" xfId="15409" xr:uid="{6E0A0AD0-1588-4F6F-90DF-40B2F4004DC0}"/>
    <cellStyle name="Comma 4 3 2 2 5 4" xfId="11104" xr:uid="{AC32D58B-0D90-4B06-AB9B-7D2970D75993}"/>
    <cellStyle name="Comma 4 3 2 2 6" xfId="1925" xr:uid="{00000000-0005-0000-0000-0000AC070000}"/>
    <cellStyle name="Comma 4 3 2 2 6 2" xfId="4154" xr:uid="{00000000-0005-0000-0000-000061100000}"/>
    <cellStyle name="Comma 4 3 2 2 6 2 2" xfId="8376" xr:uid="{00000000-0005-0000-0000-0000DF200000}"/>
    <cellStyle name="Comma 4 3 2 2 6 2 2 2" xfId="17967" xr:uid="{D9DA641B-2EBF-4506-9580-39E2CEABE5B6}"/>
    <cellStyle name="Comma 4 3 2 2 6 2 3" xfId="13746" xr:uid="{EE758608-08EF-43B1-904B-F79BD6F74498}"/>
    <cellStyle name="Comma 4 3 2 2 6 3" xfId="6231" xr:uid="{00000000-0005-0000-0000-00007E180000}"/>
    <cellStyle name="Comma 4 3 2 2 6 3 2" xfId="15822" xr:uid="{F1D5BBC9-88F2-4F68-BA35-875A4633825F}"/>
    <cellStyle name="Comma 4 3 2 2 6 4" xfId="11517" xr:uid="{7DC710B7-6B83-4EF6-8331-81C26932456A}"/>
    <cellStyle name="Comma 4 3 2 2 7" xfId="2360" xr:uid="{00000000-0005-0000-0000-00005F090000}"/>
    <cellStyle name="Comma 4 3 2 2 7 2" xfId="6644" xr:uid="{00000000-0005-0000-0000-00001B1A0000}"/>
    <cellStyle name="Comma 4 3 2 2 7 2 2" xfId="16235" xr:uid="{4400924D-3645-4522-8A11-29C248F5D360}"/>
    <cellStyle name="Comma 4 3 2 2 7 3" xfId="11952" xr:uid="{830A0E2B-0DC8-44FA-99A6-CC1B08B75CD6}"/>
    <cellStyle name="Comma 4 3 2 2 8" xfId="2325" xr:uid="{00000000-0005-0000-0000-00003C090000}"/>
    <cellStyle name="Comma 4 3 2 2 8 2" xfId="11917" xr:uid="{5CC7420F-B056-40D6-9C66-85EFA77A7FD4}"/>
    <cellStyle name="Comma 4 3 2 2 9" xfId="2738" xr:uid="{00000000-0005-0000-0000-0000D90A0000}"/>
    <cellStyle name="Comma 4 3 2 2 9 2" xfId="6961" xr:uid="{00000000-0005-0000-0000-0000581B0000}"/>
    <cellStyle name="Comma 4 3 2 2 9 2 2" xfId="16552" xr:uid="{5768DE00-8775-4991-B5B4-4E7E5AF7897C}"/>
    <cellStyle name="Comma 4 3 2 2 9 3" xfId="12330" xr:uid="{5B03BF94-C982-43D7-8BA4-444EDCCF78E1}"/>
    <cellStyle name="Comma 4 3 2 3" xfId="121" xr:uid="{00000000-0005-0000-0000-000094000000}"/>
    <cellStyle name="Comma 4 3 2 3 10" xfId="8975" xr:uid="{00000000-0005-0000-0000-000036230000}"/>
    <cellStyle name="Comma 4 3 2 3 11" xfId="9733" xr:uid="{8A98064E-0056-4AC2-BE97-62C40A292888}"/>
    <cellStyle name="Comma 4 3 2 3 2" xfId="646" xr:uid="{00000000-0005-0000-0000-0000AD020000}"/>
    <cellStyle name="Comma 4 3 2 3 2 2" xfId="2917" xr:uid="{00000000-0005-0000-0000-00008C0B0000}"/>
    <cellStyle name="Comma 4 3 2 3 2 2 2" xfId="7139" xr:uid="{00000000-0005-0000-0000-00000A1C0000}"/>
    <cellStyle name="Comma 4 3 2 3 2 2 2 2" xfId="16730" xr:uid="{C68CB41C-6B9F-4FC6-8DEB-94A12FDBF9B0}"/>
    <cellStyle name="Comma 4 3 2 3 2 2 3" xfId="12509" xr:uid="{70669F71-E51B-4811-A6C4-A43F9F566D15}"/>
    <cellStyle name="Comma 4 3 2 3 2 3" xfId="4994" xr:uid="{00000000-0005-0000-0000-0000A9130000}"/>
    <cellStyle name="Comma 4 3 2 3 2 3 2" xfId="14585" xr:uid="{205D1514-89E1-4F6A-9A71-A9537A9E96F2}"/>
    <cellStyle name="Comma 4 3 2 3 2 4" xfId="9400" xr:uid="{00000000-0005-0000-0000-0000DF240000}"/>
    <cellStyle name="Comma 4 3 2 3 2 5" xfId="10239" xr:uid="{5F0D308F-F3AE-4573-B143-648A10726D20}"/>
    <cellStyle name="Comma 4 3 2 3 3" xfId="1099" xr:uid="{00000000-0005-0000-0000-000072040000}"/>
    <cellStyle name="Comma 4 3 2 3 3 2" xfId="3330" xr:uid="{00000000-0005-0000-0000-0000290D0000}"/>
    <cellStyle name="Comma 4 3 2 3 3 2 2" xfId="7552" xr:uid="{00000000-0005-0000-0000-0000A71D0000}"/>
    <cellStyle name="Comma 4 3 2 3 3 2 2 2" xfId="17143" xr:uid="{65CFA4D7-0C49-4EC2-9106-6E83259F1137}"/>
    <cellStyle name="Comma 4 3 2 3 3 2 3" xfId="12922" xr:uid="{D0BF8053-1E45-420C-ACC5-05E87027BFB0}"/>
    <cellStyle name="Comma 4 3 2 3 3 3" xfId="5407" xr:uid="{00000000-0005-0000-0000-000046150000}"/>
    <cellStyle name="Comma 4 3 2 3 3 3 2" xfId="14998" xr:uid="{B2045355-DC09-4F61-92BE-0BCED35E5227}"/>
    <cellStyle name="Comma 4 3 2 3 3 4" xfId="10692" xr:uid="{0F6A0EC6-DEBE-4264-B5ED-9CF25935861F}"/>
    <cellStyle name="Comma 4 3 2 3 4" xfId="1513" xr:uid="{00000000-0005-0000-0000-000010060000}"/>
    <cellStyle name="Comma 4 3 2 3 4 2" xfId="3743" xr:uid="{00000000-0005-0000-0000-0000C60E0000}"/>
    <cellStyle name="Comma 4 3 2 3 4 2 2" xfId="7965" xr:uid="{00000000-0005-0000-0000-0000441F0000}"/>
    <cellStyle name="Comma 4 3 2 3 4 2 2 2" xfId="17556" xr:uid="{C9A374C9-2EA2-444B-9DF6-7C43C7838B55}"/>
    <cellStyle name="Comma 4 3 2 3 4 2 3" xfId="13335" xr:uid="{42AAA89A-4053-4ACA-B6D2-33FC425F9203}"/>
    <cellStyle name="Comma 4 3 2 3 4 3" xfId="5820" xr:uid="{00000000-0005-0000-0000-0000E3160000}"/>
    <cellStyle name="Comma 4 3 2 3 4 3 2" xfId="15411" xr:uid="{03E7F5B6-D969-46D4-8E20-7E8920FD1214}"/>
    <cellStyle name="Comma 4 3 2 3 4 4" xfId="11106" xr:uid="{AEF6BB5C-DAD9-4D11-AA86-ED3398B86053}"/>
    <cellStyle name="Comma 4 3 2 3 5" xfId="1927" xr:uid="{00000000-0005-0000-0000-0000AE070000}"/>
    <cellStyle name="Comma 4 3 2 3 5 2" xfId="4156" xr:uid="{00000000-0005-0000-0000-000063100000}"/>
    <cellStyle name="Comma 4 3 2 3 5 2 2" xfId="8378" xr:uid="{00000000-0005-0000-0000-0000E1200000}"/>
    <cellStyle name="Comma 4 3 2 3 5 2 2 2" xfId="17969" xr:uid="{8B3EA209-31E8-4A9F-8CDE-5D8B5AD8435D}"/>
    <cellStyle name="Comma 4 3 2 3 5 2 3" xfId="13748" xr:uid="{FF3B7B31-63DD-483E-8795-95E9873F9DF3}"/>
    <cellStyle name="Comma 4 3 2 3 5 3" xfId="6233" xr:uid="{00000000-0005-0000-0000-000080180000}"/>
    <cellStyle name="Comma 4 3 2 3 5 3 2" xfId="15824" xr:uid="{50224062-10EE-442B-9233-F5F3A1F5AAAE}"/>
    <cellStyle name="Comma 4 3 2 3 5 4" xfId="11519" xr:uid="{A81C3277-1327-4E31-BA6A-FDE26FA4CD0F}"/>
    <cellStyle name="Comma 4 3 2 3 6" xfId="2362" xr:uid="{00000000-0005-0000-0000-000061090000}"/>
    <cellStyle name="Comma 4 3 2 3 6 2" xfId="6646" xr:uid="{00000000-0005-0000-0000-00001D1A0000}"/>
    <cellStyle name="Comma 4 3 2 3 6 2 2" xfId="16237" xr:uid="{6C629AFF-9BEB-4E81-9720-2A5171C90968}"/>
    <cellStyle name="Comma 4 3 2 3 6 3" xfId="11954" xr:uid="{17AB5C04-181C-488B-A18E-74A032A242A4}"/>
    <cellStyle name="Comma 4 3 2 3 7" xfId="2323" xr:uid="{00000000-0005-0000-0000-00003A090000}"/>
    <cellStyle name="Comma 4 3 2 3 7 2" xfId="11915" xr:uid="{0F748CF2-DA96-4C45-A708-1E96F9A291C3}"/>
    <cellStyle name="Comma 4 3 2 3 8" xfId="2740" xr:uid="{00000000-0005-0000-0000-0000DB0A0000}"/>
    <cellStyle name="Comma 4 3 2 3 8 2" xfId="6963" xr:uid="{00000000-0005-0000-0000-00005A1B0000}"/>
    <cellStyle name="Comma 4 3 2 3 8 2 2" xfId="16554" xr:uid="{03975CF6-0E02-42AF-A1CD-31253ACB11BF}"/>
    <cellStyle name="Comma 4 3 2 3 8 3" xfId="12332" xr:uid="{52CF851B-E2D4-4EA7-9C38-D2D6375F0B2D}"/>
    <cellStyle name="Comma 4 3 2 3 9" xfId="4580" xr:uid="{00000000-0005-0000-0000-00000B120000}"/>
    <cellStyle name="Comma 4 3 2 3 9 2" xfId="14171" xr:uid="{C7CEB09E-DA18-4135-B451-9997CAE58A04}"/>
    <cellStyle name="Comma 4 3 2 4" xfId="643" xr:uid="{00000000-0005-0000-0000-0000AA020000}"/>
    <cellStyle name="Comma 4 3 2 4 2" xfId="2914" xr:uid="{00000000-0005-0000-0000-0000890B0000}"/>
    <cellStyle name="Comma 4 3 2 4 2 2" xfId="7136" xr:uid="{00000000-0005-0000-0000-0000071C0000}"/>
    <cellStyle name="Comma 4 3 2 4 2 2 2" xfId="16727" xr:uid="{BBD9E896-12B2-43E2-A63E-567C3791B45D}"/>
    <cellStyle name="Comma 4 3 2 4 2 3" xfId="12506" xr:uid="{0367D1FA-7046-40E6-AEE5-5FAF26305116}"/>
    <cellStyle name="Comma 4 3 2 4 3" xfId="4991" xr:uid="{00000000-0005-0000-0000-0000A6130000}"/>
    <cellStyle name="Comma 4 3 2 4 3 2" xfId="14582" xr:uid="{8064AEFC-9BEA-4EBE-AE60-E5726312900B}"/>
    <cellStyle name="Comma 4 3 2 4 4" xfId="9193" xr:uid="{00000000-0005-0000-0000-000010240000}"/>
    <cellStyle name="Comma 4 3 2 4 5" xfId="10236" xr:uid="{60C62E48-4EF0-4788-ACB3-A32C13A8743B}"/>
    <cellStyle name="Comma 4 3 2 5" xfId="1096" xr:uid="{00000000-0005-0000-0000-00006F040000}"/>
    <cellStyle name="Comma 4 3 2 5 2" xfId="3327" xr:uid="{00000000-0005-0000-0000-0000260D0000}"/>
    <cellStyle name="Comma 4 3 2 5 2 2" xfId="7549" xr:uid="{00000000-0005-0000-0000-0000A41D0000}"/>
    <cellStyle name="Comma 4 3 2 5 2 2 2" xfId="17140" xr:uid="{4FB353EC-D8F7-4A84-AC12-2AAFD9E93912}"/>
    <cellStyle name="Comma 4 3 2 5 2 3" xfId="12919" xr:uid="{67BBF488-96E8-4D01-8261-C0AFDFB8785A}"/>
    <cellStyle name="Comma 4 3 2 5 3" xfId="5404" xr:uid="{00000000-0005-0000-0000-000043150000}"/>
    <cellStyle name="Comma 4 3 2 5 3 2" xfId="14995" xr:uid="{D653CCAF-48D8-4CCB-BB47-4986F4CC7F3A}"/>
    <cellStyle name="Comma 4 3 2 5 4" xfId="10689" xr:uid="{E9DDD992-52CB-4239-8D70-16A64A8EC2A3}"/>
    <cellStyle name="Comma 4 3 2 6" xfId="1510" xr:uid="{00000000-0005-0000-0000-00000D060000}"/>
    <cellStyle name="Comma 4 3 2 6 2" xfId="3740" xr:uid="{00000000-0005-0000-0000-0000C30E0000}"/>
    <cellStyle name="Comma 4 3 2 6 2 2" xfId="7962" xr:uid="{00000000-0005-0000-0000-0000411F0000}"/>
    <cellStyle name="Comma 4 3 2 6 2 2 2" xfId="17553" xr:uid="{06697352-60EF-4973-BEC9-ECD81CF5577F}"/>
    <cellStyle name="Comma 4 3 2 6 2 3" xfId="13332" xr:uid="{A080B75F-193A-43B6-974B-77BC9641B0D5}"/>
    <cellStyle name="Comma 4 3 2 6 3" xfId="5817" xr:uid="{00000000-0005-0000-0000-0000E0160000}"/>
    <cellStyle name="Comma 4 3 2 6 3 2" xfId="15408" xr:uid="{36CD9ACA-8884-40EE-A60F-88A5AA0771DC}"/>
    <cellStyle name="Comma 4 3 2 6 4" xfId="11103" xr:uid="{3C83A150-254B-49A6-9563-7663F19A9F06}"/>
    <cellStyle name="Comma 4 3 2 7" xfId="1924" xr:uid="{00000000-0005-0000-0000-0000AB070000}"/>
    <cellStyle name="Comma 4 3 2 7 2" xfId="4153" xr:uid="{00000000-0005-0000-0000-000060100000}"/>
    <cellStyle name="Comma 4 3 2 7 2 2" xfId="8375" xr:uid="{00000000-0005-0000-0000-0000DE200000}"/>
    <cellStyle name="Comma 4 3 2 7 2 2 2" xfId="17966" xr:uid="{34105A74-D518-4262-8A09-8959221BA1E6}"/>
    <cellStyle name="Comma 4 3 2 7 2 3" xfId="13745" xr:uid="{619B79C0-D119-491B-887E-38F696EA1DF6}"/>
    <cellStyle name="Comma 4 3 2 7 3" xfId="6230" xr:uid="{00000000-0005-0000-0000-00007D180000}"/>
    <cellStyle name="Comma 4 3 2 7 3 2" xfId="15821" xr:uid="{BF56BFF6-93FF-40E4-A636-7891B89560EF}"/>
    <cellStyle name="Comma 4 3 2 7 4" xfId="11516" xr:uid="{031F6019-ED43-43C9-A679-71276B6F9FBB}"/>
    <cellStyle name="Comma 4 3 2 8" xfId="2359" xr:uid="{00000000-0005-0000-0000-00005E090000}"/>
    <cellStyle name="Comma 4 3 2 8 2" xfId="6643" xr:uid="{00000000-0005-0000-0000-00001A1A0000}"/>
    <cellStyle name="Comma 4 3 2 8 2 2" xfId="16234" xr:uid="{AEA4E633-4A88-4223-9419-D2D7491FA0F9}"/>
    <cellStyle name="Comma 4 3 2 8 3" xfId="11951" xr:uid="{99A9D0A3-9FCB-4F1D-BF48-1A9BFA2A7CD0}"/>
    <cellStyle name="Comma 4 3 2 9" xfId="2326" xr:uid="{00000000-0005-0000-0000-00003D090000}"/>
    <cellStyle name="Comma 4 3 2 9 2" xfId="11918" xr:uid="{07770E6B-F4F8-471E-A816-D34CE645C9EA}"/>
    <cellStyle name="Comma 4 3 3" xfId="122" xr:uid="{00000000-0005-0000-0000-000095000000}"/>
    <cellStyle name="Comma 4 3 3 10" xfId="4581" xr:uid="{00000000-0005-0000-0000-00000C120000}"/>
    <cellStyle name="Comma 4 3 3 10 2" xfId="14172" xr:uid="{29B1ACE7-7D8D-4A39-A84C-4D864EEFAF9B}"/>
    <cellStyle name="Comma 4 3 3 11" xfId="8842" xr:uid="{00000000-0005-0000-0000-0000B1220000}"/>
    <cellStyle name="Comma 4 3 3 12" xfId="9734" xr:uid="{3CEE1A59-61D0-4788-BDDE-26FF950B716E}"/>
    <cellStyle name="Comma 4 3 3 2" xfId="123" xr:uid="{00000000-0005-0000-0000-000096000000}"/>
    <cellStyle name="Comma 4 3 3 2 10" xfId="9049" xr:uid="{00000000-0005-0000-0000-000080230000}"/>
    <cellStyle name="Comma 4 3 3 2 11" xfId="9735" xr:uid="{EC7CCA68-3757-45B8-BD42-760BEEC5E019}"/>
    <cellStyle name="Comma 4 3 3 2 2" xfId="648" xr:uid="{00000000-0005-0000-0000-0000AF020000}"/>
    <cellStyle name="Comma 4 3 3 2 2 2" xfId="2919" xr:uid="{00000000-0005-0000-0000-00008E0B0000}"/>
    <cellStyle name="Comma 4 3 3 2 2 2 2" xfId="7141" xr:uid="{00000000-0005-0000-0000-00000C1C0000}"/>
    <cellStyle name="Comma 4 3 3 2 2 2 2 2" xfId="16732" xr:uid="{DD4231A1-0D91-4F6F-8AAC-7D736F9930CC}"/>
    <cellStyle name="Comma 4 3 3 2 2 2 3" xfId="12511" xr:uid="{D38B7A29-0E40-4142-92BB-36086FA5DB6B}"/>
    <cellStyle name="Comma 4 3 3 2 2 3" xfId="4996" xr:uid="{00000000-0005-0000-0000-0000AB130000}"/>
    <cellStyle name="Comma 4 3 3 2 2 3 2" xfId="14587" xr:uid="{BD1EDC1D-5D4A-4526-B637-B8FBF498A294}"/>
    <cellStyle name="Comma 4 3 3 2 2 4" xfId="9474" xr:uid="{00000000-0005-0000-0000-000029250000}"/>
    <cellStyle name="Comma 4 3 3 2 2 5" xfId="10241" xr:uid="{20D1FF90-15A6-4266-83C4-EBFDECBD3BCF}"/>
    <cellStyle name="Comma 4 3 3 2 3" xfId="1101" xr:uid="{00000000-0005-0000-0000-000074040000}"/>
    <cellStyle name="Comma 4 3 3 2 3 2" xfId="3332" xr:uid="{00000000-0005-0000-0000-00002B0D0000}"/>
    <cellStyle name="Comma 4 3 3 2 3 2 2" xfId="7554" xr:uid="{00000000-0005-0000-0000-0000A91D0000}"/>
    <cellStyle name="Comma 4 3 3 2 3 2 2 2" xfId="17145" xr:uid="{5FC0A7C7-C101-4C3C-9B86-B80880ADDE06}"/>
    <cellStyle name="Comma 4 3 3 2 3 2 3" xfId="12924" xr:uid="{83CDC54D-23AA-4935-88DA-8B944353937D}"/>
    <cellStyle name="Comma 4 3 3 2 3 3" xfId="5409" xr:uid="{00000000-0005-0000-0000-000048150000}"/>
    <cellStyle name="Comma 4 3 3 2 3 3 2" xfId="15000" xr:uid="{BAA2F34F-75A3-407D-A9F8-EAC6F2BECA4C}"/>
    <cellStyle name="Comma 4 3 3 2 3 4" xfId="10694" xr:uid="{654D0365-FC8D-4B9E-BD81-BD0AF0A2F85E}"/>
    <cellStyle name="Comma 4 3 3 2 4" xfId="1515" xr:uid="{00000000-0005-0000-0000-000012060000}"/>
    <cellStyle name="Comma 4 3 3 2 4 2" xfId="3745" xr:uid="{00000000-0005-0000-0000-0000C80E0000}"/>
    <cellStyle name="Comma 4 3 3 2 4 2 2" xfId="7967" xr:uid="{00000000-0005-0000-0000-0000461F0000}"/>
    <cellStyle name="Comma 4 3 3 2 4 2 2 2" xfId="17558" xr:uid="{D904CE59-54D9-45CD-8753-AA04B0904685}"/>
    <cellStyle name="Comma 4 3 3 2 4 2 3" xfId="13337" xr:uid="{C02D902D-A30B-4FDD-A574-FDC100F67A12}"/>
    <cellStyle name="Comma 4 3 3 2 4 3" xfId="5822" xr:uid="{00000000-0005-0000-0000-0000E5160000}"/>
    <cellStyle name="Comma 4 3 3 2 4 3 2" xfId="15413" xr:uid="{0E5A0CE9-01A7-48DC-B647-CC367957E42E}"/>
    <cellStyle name="Comma 4 3 3 2 4 4" xfId="11108" xr:uid="{17137B43-D720-4A68-8CD4-5D94849D754E}"/>
    <cellStyle name="Comma 4 3 3 2 5" xfId="1929" xr:uid="{00000000-0005-0000-0000-0000B0070000}"/>
    <cellStyle name="Comma 4 3 3 2 5 2" xfId="4158" xr:uid="{00000000-0005-0000-0000-000065100000}"/>
    <cellStyle name="Comma 4 3 3 2 5 2 2" xfId="8380" xr:uid="{00000000-0005-0000-0000-0000E3200000}"/>
    <cellStyle name="Comma 4 3 3 2 5 2 2 2" xfId="17971" xr:uid="{6FB30FA6-1FF2-44C9-B958-092063612A2B}"/>
    <cellStyle name="Comma 4 3 3 2 5 2 3" xfId="13750" xr:uid="{ABA210ED-11F0-40F7-A8C6-7E9E13FB9DDD}"/>
    <cellStyle name="Comma 4 3 3 2 5 3" xfId="6235" xr:uid="{00000000-0005-0000-0000-000082180000}"/>
    <cellStyle name="Comma 4 3 3 2 5 3 2" xfId="15826" xr:uid="{69F90F1D-0674-4EEB-8AA1-4817A4CAD83C}"/>
    <cellStyle name="Comma 4 3 3 2 5 4" xfId="11521" xr:uid="{AA51C9A4-2068-4706-A3A2-2585D797EDCF}"/>
    <cellStyle name="Comma 4 3 3 2 6" xfId="2364" xr:uid="{00000000-0005-0000-0000-000063090000}"/>
    <cellStyle name="Comma 4 3 3 2 6 2" xfId="6648" xr:uid="{00000000-0005-0000-0000-00001F1A0000}"/>
    <cellStyle name="Comma 4 3 3 2 6 2 2" xfId="16239" xr:uid="{7809C4FA-8060-4E9C-A1F5-119594DE45DF}"/>
    <cellStyle name="Comma 4 3 3 2 6 3" xfId="11956" xr:uid="{AB99FF2E-7540-473E-8E4B-CF95679FAAB0}"/>
    <cellStyle name="Comma 4 3 3 2 7" xfId="2321" xr:uid="{00000000-0005-0000-0000-000038090000}"/>
    <cellStyle name="Comma 4 3 3 2 7 2" xfId="11913" xr:uid="{ACC87AE0-EC73-425E-AD8F-A23116B0B32C}"/>
    <cellStyle name="Comma 4 3 3 2 8" xfId="2742" xr:uid="{00000000-0005-0000-0000-0000DD0A0000}"/>
    <cellStyle name="Comma 4 3 3 2 8 2" xfId="6965" xr:uid="{00000000-0005-0000-0000-00005C1B0000}"/>
    <cellStyle name="Comma 4 3 3 2 8 2 2" xfId="16556" xr:uid="{40BC76C0-21E8-411B-BC73-C0D69458FD3B}"/>
    <cellStyle name="Comma 4 3 3 2 8 3" xfId="12334" xr:uid="{D82B9AE9-AD3F-4D82-9D9A-1F32F79DFA1A}"/>
    <cellStyle name="Comma 4 3 3 2 9" xfId="4582" xr:uid="{00000000-0005-0000-0000-00000D120000}"/>
    <cellStyle name="Comma 4 3 3 2 9 2" xfId="14173" xr:uid="{0DCAE56A-E4D1-4C10-8F3E-477DD242D6DD}"/>
    <cellStyle name="Comma 4 3 3 3" xfId="647" xr:uid="{00000000-0005-0000-0000-0000AE020000}"/>
    <cellStyle name="Comma 4 3 3 3 2" xfId="2918" xr:uid="{00000000-0005-0000-0000-00008D0B0000}"/>
    <cellStyle name="Comma 4 3 3 3 2 2" xfId="7140" xr:uid="{00000000-0005-0000-0000-00000B1C0000}"/>
    <cellStyle name="Comma 4 3 3 3 2 2 2" xfId="16731" xr:uid="{10A54091-9DDB-49C4-A1D6-500CA7958A34}"/>
    <cellStyle name="Comma 4 3 3 3 2 3" xfId="12510" xr:uid="{30FD576B-05D8-46E8-8F36-566F65A225D7}"/>
    <cellStyle name="Comma 4 3 3 3 3" xfId="4995" xr:uid="{00000000-0005-0000-0000-0000AA130000}"/>
    <cellStyle name="Comma 4 3 3 3 3 2" xfId="14586" xr:uid="{E592DECF-38F3-4457-9AEE-CA2327C7CB14}"/>
    <cellStyle name="Comma 4 3 3 3 4" xfId="9267" xr:uid="{00000000-0005-0000-0000-00005A240000}"/>
    <cellStyle name="Comma 4 3 3 3 5" xfId="10240" xr:uid="{57AB0449-BB54-4179-A35E-EB0697E05EBF}"/>
    <cellStyle name="Comma 4 3 3 4" xfId="1100" xr:uid="{00000000-0005-0000-0000-000073040000}"/>
    <cellStyle name="Comma 4 3 3 4 2" xfId="3331" xr:uid="{00000000-0005-0000-0000-00002A0D0000}"/>
    <cellStyle name="Comma 4 3 3 4 2 2" xfId="7553" xr:uid="{00000000-0005-0000-0000-0000A81D0000}"/>
    <cellStyle name="Comma 4 3 3 4 2 2 2" xfId="17144" xr:uid="{3F7A2F1E-EF16-4F2D-B63B-F95AAE6B6BA2}"/>
    <cellStyle name="Comma 4 3 3 4 2 3" xfId="12923" xr:uid="{192CE849-D08C-41DE-BEC6-27AB9A9CEBDD}"/>
    <cellStyle name="Comma 4 3 3 4 3" xfId="5408" xr:uid="{00000000-0005-0000-0000-000047150000}"/>
    <cellStyle name="Comma 4 3 3 4 3 2" xfId="14999" xr:uid="{204CCEB7-53CC-4E23-B61B-46E454456BD7}"/>
    <cellStyle name="Comma 4 3 3 4 4" xfId="10693" xr:uid="{1A439707-7333-492B-807F-06C692B49183}"/>
    <cellStyle name="Comma 4 3 3 5" xfId="1514" xr:uid="{00000000-0005-0000-0000-000011060000}"/>
    <cellStyle name="Comma 4 3 3 5 2" xfId="3744" xr:uid="{00000000-0005-0000-0000-0000C70E0000}"/>
    <cellStyle name="Comma 4 3 3 5 2 2" xfId="7966" xr:uid="{00000000-0005-0000-0000-0000451F0000}"/>
    <cellStyle name="Comma 4 3 3 5 2 2 2" xfId="17557" xr:uid="{FEBCA0B2-10B8-432E-8B1C-42BA508470C3}"/>
    <cellStyle name="Comma 4 3 3 5 2 3" xfId="13336" xr:uid="{5A8C6A43-F53E-46E4-A349-1980372A667B}"/>
    <cellStyle name="Comma 4 3 3 5 3" xfId="5821" xr:uid="{00000000-0005-0000-0000-0000E4160000}"/>
    <cellStyle name="Comma 4 3 3 5 3 2" xfId="15412" xr:uid="{91571AFB-E96A-4340-B064-713453ED94F2}"/>
    <cellStyle name="Comma 4 3 3 5 4" xfId="11107" xr:uid="{06BC4174-2F9B-4D91-91E3-6D38614DC6D9}"/>
    <cellStyle name="Comma 4 3 3 6" xfId="1928" xr:uid="{00000000-0005-0000-0000-0000AF070000}"/>
    <cellStyle name="Comma 4 3 3 6 2" xfId="4157" xr:uid="{00000000-0005-0000-0000-000064100000}"/>
    <cellStyle name="Comma 4 3 3 6 2 2" xfId="8379" xr:uid="{00000000-0005-0000-0000-0000E2200000}"/>
    <cellStyle name="Comma 4 3 3 6 2 2 2" xfId="17970" xr:uid="{7F6700E5-8927-4D2C-AE3D-AEA99211AA19}"/>
    <cellStyle name="Comma 4 3 3 6 2 3" xfId="13749" xr:uid="{60A52C8E-7CE0-4336-A2E7-C8EC436EC997}"/>
    <cellStyle name="Comma 4 3 3 6 3" xfId="6234" xr:uid="{00000000-0005-0000-0000-000081180000}"/>
    <cellStyle name="Comma 4 3 3 6 3 2" xfId="15825" xr:uid="{7DF67E4B-48E4-4278-9CEC-9DE600E26864}"/>
    <cellStyle name="Comma 4 3 3 6 4" xfId="11520" xr:uid="{FE6CCF9B-463C-4DE2-8D05-C4D4F462F116}"/>
    <cellStyle name="Comma 4 3 3 7" xfId="2363" xr:uid="{00000000-0005-0000-0000-000062090000}"/>
    <cellStyle name="Comma 4 3 3 7 2" xfId="6647" xr:uid="{00000000-0005-0000-0000-00001E1A0000}"/>
    <cellStyle name="Comma 4 3 3 7 2 2" xfId="16238" xr:uid="{D0B9028E-B2EF-40EA-A111-B15A25A98F58}"/>
    <cellStyle name="Comma 4 3 3 7 3" xfId="11955" xr:uid="{ABFC0C2F-79BD-4534-AEF4-C85C777040C3}"/>
    <cellStyle name="Comma 4 3 3 8" xfId="2322" xr:uid="{00000000-0005-0000-0000-000039090000}"/>
    <cellStyle name="Comma 4 3 3 8 2" xfId="11914" xr:uid="{CEA6E58D-6455-479A-A986-23CCFB94C4B3}"/>
    <cellStyle name="Comma 4 3 3 9" xfId="2741" xr:uid="{00000000-0005-0000-0000-0000DC0A0000}"/>
    <cellStyle name="Comma 4 3 3 9 2" xfId="6964" xr:uid="{00000000-0005-0000-0000-00005B1B0000}"/>
    <cellStyle name="Comma 4 3 3 9 2 2" xfId="16555" xr:uid="{77E7DEE8-0167-45B9-9615-E09E6BD8EBEA}"/>
    <cellStyle name="Comma 4 3 3 9 3" xfId="12333" xr:uid="{6832D01B-E9D3-4B01-8887-A39E827829B5}"/>
    <cellStyle name="Comma 4 3 4" xfId="124" xr:uid="{00000000-0005-0000-0000-000097000000}"/>
    <cellStyle name="Comma 4 3 4 10" xfId="8946" xr:uid="{00000000-0005-0000-0000-000019230000}"/>
    <cellStyle name="Comma 4 3 4 11" xfId="9736" xr:uid="{85925A57-E524-4E73-94DD-1208A7EDD252}"/>
    <cellStyle name="Comma 4 3 4 2" xfId="649" xr:uid="{00000000-0005-0000-0000-0000B0020000}"/>
    <cellStyle name="Comma 4 3 4 2 2" xfId="2920" xr:uid="{00000000-0005-0000-0000-00008F0B0000}"/>
    <cellStyle name="Comma 4 3 4 2 2 2" xfId="7142" xr:uid="{00000000-0005-0000-0000-00000D1C0000}"/>
    <cellStyle name="Comma 4 3 4 2 2 2 2" xfId="16733" xr:uid="{282287D2-9E59-4FB0-A8AF-86B5AABF3D4F}"/>
    <cellStyle name="Comma 4 3 4 2 2 3" xfId="12512" xr:uid="{17CB48FB-16BA-46AB-BF42-C2EE6E102BEB}"/>
    <cellStyle name="Comma 4 3 4 2 3" xfId="4997" xr:uid="{00000000-0005-0000-0000-0000AC130000}"/>
    <cellStyle name="Comma 4 3 4 2 3 2" xfId="14588" xr:uid="{37CCA9D1-4A7E-491C-9199-94CB4BA880C7}"/>
    <cellStyle name="Comma 4 3 4 2 4" xfId="9371" xr:uid="{00000000-0005-0000-0000-0000C2240000}"/>
    <cellStyle name="Comma 4 3 4 2 5" xfId="10242" xr:uid="{3A21D37D-3E1C-4CE5-BF8C-D7A6A1E18D2F}"/>
    <cellStyle name="Comma 4 3 4 3" xfId="1102" xr:uid="{00000000-0005-0000-0000-000075040000}"/>
    <cellStyle name="Comma 4 3 4 3 2" xfId="3333" xr:uid="{00000000-0005-0000-0000-00002C0D0000}"/>
    <cellStyle name="Comma 4 3 4 3 2 2" xfId="7555" xr:uid="{00000000-0005-0000-0000-0000AA1D0000}"/>
    <cellStyle name="Comma 4 3 4 3 2 2 2" xfId="17146" xr:uid="{2CD9AE03-FA3A-4664-8F80-BE40659D4A5B}"/>
    <cellStyle name="Comma 4 3 4 3 2 3" xfId="12925" xr:uid="{96C12AC1-9CE0-4512-90C8-C76CBE53C59B}"/>
    <cellStyle name="Comma 4 3 4 3 3" xfId="5410" xr:uid="{00000000-0005-0000-0000-000049150000}"/>
    <cellStyle name="Comma 4 3 4 3 3 2" xfId="15001" xr:uid="{C9204EF5-D790-476A-9571-DAC78F718DC3}"/>
    <cellStyle name="Comma 4 3 4 3 4" xfId="10695" xr:uid="{CAE87D30-02B6-4B31-83EE-B889D6913562}"/>
    <cellStyle name="Comma 4 3 4 4" xfId="1516" xr:uid="{00000000-0005-0000-0000-000013060000}"/>
    <cellStyle name="Comma 4 3 4 4 2" xfId="3746" xr:uid="{00000000-0005-0000-0000-0000C90E0000}"/>
    <cellStyle name="Comma 4 3 4 4 2 2" xfId="7968" xr:uid="{00000000-0005-0000-0000-0000471F0000}"/>
    <cellStyle name="Comma 4 3 4 4 2 2 2" xfId="17559" xr:uid="{1333EFBA-2819-4A14-A91A-DB35C758A5B0}"/>
    <cellStyle name="Comma 4 3 4 4 2 3" xfId="13338" xr:uid="{50848378-3F32-463C-BD27-EE53271A3D30}"/>
    <cellStyle name="Comma 4 3 4 4 3" xfId="5823" xr:uid="{00000000-0005-0000-0000-0000E6160000}"/>
    <cellStyle name="Comma 4 3 4 4 3 2" xfId="15414" xr:uid="{DB954BFB-1817-4362-BABD-AC535339A8F3}"/>
    <cellStyle name="Comma 4 3 4 4 4" xfId="11109" xr:uid="{B1A5CE38-A03E-4028-98E9-D0CAE78A7CFE}"/>
    <cellStyle name="Comma 4 3 4 5" xfId="1930" xr:uid="{00000000-0005-0000-0000-0000B1070000}"/>
    <cellStyle name="Comma 4 3 4 5 2" xfId="4159" xr:uid="{00000000-0005-0000-0000-000066100000}"/>
    <cellStyle name="Comma 4 3 4 5 2 2" xfId="8381" xr:uid="{00000000-0005-0000-0000-0000E4200000}"/>
    <cellStyle name="Comma 4 3 4 5 2 2 2" xfId="17972" xr:uid="{96E0A982-4E91-494B-B0CA-528B03316DA4}"/>
    <cellStyle name="Comma 4 3 4 5 2 3" xfId="13751" xr:uid="{5BF060C1-4F0E-4212-B546-E812DD638DB3}"/>
    <cellStyle name="Comma 4 3 4 5 3" xfId="6236" xr:uid="{00000000-0005-0000-0000-000083180000}"/>
    <cellStyle name="Comma 4 3 4 5 3 2" xfId="15827" xr:uid="{0B79C930-766F-4986-976A-6F3C4E354053}"/>
    <cellStyle name="Comma 4 3 4 5 4" xfId="11522" xr:uid="{1517294B-2EDB-4BD1-BBA1-F3152719C5BE}"/>
    <cellStyle name="Comma 4 3 4 6" xfId="2365" xr:uid="{00000000-0005-0000-0000-000064090000}"/>
    <cellStyle name="Comma 4 3 4 6 2" xfId="6649" xr:uid="{00000000-0005-0000-0000-0000201A0000}"/>
    <cellStyle name="Comma 4 3 4 6 2 2" xfId="16240" xr:uid="{F03D8D17-5E7E-458E-B639-28224CF3B753}"/>
    <cellStyle name="Comma 4 3 4 6 3" xfId="11957" xr:uid="{E9966ECB-91E8-466F-BF71-9DA2F91E328F}"/>
    <cellStyle name="Comma 4 3 4 7" xfId="2661" xr:uid="{00000000-0005-0000-0000-00008C0A0000}"/>
    <cellStyle name="Comma 4 3 4 7 2" xfId="12253" xr:uid="{18E5C779-DBAD-41F0-A76F-C3080FA99855}"/>
    <cellStyle name="Comma 4 3 4 8" xfId="2743" xr:uid="{00000000-0005-0000-0000-0000DE0A0000}"/>
    <cellStyle name="Comma 4 3 4 8 2" xfId="6966" xr:uid="{00000000-0005-0000-0000-00005D1B0000}"/>
    <cellStyle name="Comma 4 3 4 8 2 2" xfId="16557" xr:uid="{8CB5E3EE-9047-4688-8F26-9C2815D905F1}"/>
    <cellStyle name="Comma 4 3 4 8 3" xfId="12335" xr:uid="{7ED37EC7-AFF6-43D1-AF5D-1D983568D3DE}"/>
    <cellStyle name="Comma 4 3 4 9" xfId="4583" xr:uid="{00000000-0005-0000-0000-00000E120000}"/>
    <cellStyle name="Comma 4 3 4 9 2" xfId="14174" xr:uid="{5ABB8938-C01E-478F-A25B-7448B4399E2B}"/>
    <cellStyle name="Comma 4 3 5" xfId="125" xr:uid="{00000000-0005-0000-0000-000098000000}"/>
    <cellStyle name="Comma 4 3 5 10" xfId="9163" xr:uid="{00000000-0005-0000-0000-0000F2230000}"/>
    <cellStyle name="Comma 4 3 5 11" xfId="9737" xr:uid="{5CCD9641-0F21-4C94-9549-74201652B4B1}"/>
    <cellStyle name="Comma 4 3 5 2" xfId="650" xr:uid="{00000000-0005-0000-0000-0000B1020000}"/>
    <cellStyle name="Comma 4 3 5 2 2" xfId="2921" xr:uid="{00000000-0005-0000-0000-0000900B0000}"/>
    <cellStyle name="Comma 4 3 5 2 2 2" xfId="7143" xr:uid="{00000000-0005-0000-0000-00000E1C0000}"/>
    <cellStyle name="Comma 4 3 5 2 2 2 2" xfId="16734" xr:uid="{426121D5-5A37-453F-ABDD-88DB43D04891}"/>
    <cellStyle name="Comma 4 3 5 2 2 3" xfId="12513" xr:uid="{F7A73B1D-E1E9-41AE-BFFE-C7054C5CD9C1}"/>
    <cellStyle name="Comma 4 3 5 2 3" xfId="4998" xr:uid="{00000000-0005-0000-0000-0000AD130000}"/>
    <cellStyle name="Comma 4 3 5 2 3 2" xfId="14589" xr:uid="{5307E941-3C29-4105-83FB-697B16110E81}"/>
    <cellStyle name="Comma 4 3 5 2 4" xfId="9556" xr:uid="{00000000-0005-0000-0000-00007B250000}"/>
    <cellStyle name="Comma 4 3 5 2 5" xfId="10243" xr:uid="{DD1C26C2-C58B-4F56-94E3-48AD8C4AB097}"/>
    <cellStyle name="Comma 4 3 5 3" xfId="1103" xr:uid="{00000000-0005-0000-0000-000076040000}"/>
    <cellStyle name="Comma 4 3 5 3 2" xfId="3334" xr:uid="{00000000-0005-0000-0000-00002D0D0000}"/>
    <cellStyle name="Comma 4 3 5 3 2 2" xfId="7556" xr:uid="{00000000-0005-0000-0000-0000AB1D0000}"/>
    <cellStyle name="Comma 4 3 5 3 2 2 2" xfId="17147" xr:uid="{4175146F-DD27-4DFA-B4E1-7C49E236AFD3}"/>
    <cellStyle name="Comma 4 3 5 3 2 3" xfId="12926" xr:uid="{2907B213-E345-4B67-A1C0-05C7A83EAC3B}"/>
    <cellStyle name="Comma 4 3 5 3 3" xfId="5411" xr:uid="{00000000-0005-0000-0000-00004A150000}"/>
    <cellStyle name="Comma 4 3 5 3 3 2" xfId="15002" xr:uid="{3D9BB970-C67B-49C3-84E6-3990ECA6B9EF}"/>
    <cellStyle name="Comma 4 3 5 3 4" xfId="10696" xr:uid="{4985D48A-4C36-4C14-8F83-C527BBFE3CBD}"/>
    <cellStyle name="Comma 4 3 5 4" xfId="1517" xr:uid="{00000000-0005-0000-0000-000014060000}"/>
    <cellStyle name="Comma 4 3 5 4 2" xfId="3747" xr:uid="{00000000-0005-0000-0000-0000CA0E0000}"/>
    <cellStyle name="Comma 4 3 5 4 2 2" xfId="7969" xr:uid="{00000000-0005-0000-0000-0000481F0000}"/>
    <cellStyle name="Comma 4 3 5 4 2 2 2" xfId="17560" xr:uid="{9C20CC36-5E1E-47C8-A838-6C8C96FE9B67}"/>
    <cellStyle name="Comma 4 3 5 4 2 3" xfId="13339" xr:uid="{E1548582-191B-4607-A1F3-C77DA922069C}"/>
    <cellStyle name="Comma 4 3 5 4 3" xfId="5824" xr:uid="{00000000-0005-0000-0000-0000E7160000}"/>
    <cellStyle name="Comma 4 3 5 4 3 2" xfId="15415" xr:uid="{98D4A373-EB24-481F-AC85-5F08D5E43437}"/>
    <cellStyle name="Comma 4 3 5 4 4" xfId="11110" xr:uid="{7E70C595-9EEA-43F5-AEE5-E0D661B37C1B}"/>
    <cellStyle name="Comma 4 3 5 5" xfId="1931" xr:uid="{00000000-0005-0000-0000-0000B2070000}"/>
    <cellStyle name="Comma 4 3 5 5 2" xfId="4160" xr:uid="{00000000-0005-0000-0000-000067100000}"/>
    <cellStyle name="Comma 4 3 5 5 2 2" xfId="8382" xr:uid="{00000000-0005-0000-0000-0000E5200000}"/>
    <cellStyle name="Comma 4 3 5 5 2 2 2" xfId="17973" xr:uid="{36374953-A571-4478-8DFA-1FFFF709CA1B}"/>
    <cellStyle name="Comma 4 3 5 5 2 3" xfId="13752" xr:uid="{418313A0-66BE-4386-82B2-E616DC2F7F36}"/>
    <cellStyle name="Comma 4 3 5 5 3" xfId="6237" xr:uid="{00000000-0005-0000-0000-000084180000}"/>
    <cellStyle name="Comma 4 3 5 5 3 2" xfId="15828" xr:uid="{513A5719-8865-423A-907A-D607FCA124E3}"/>
    <cellStyle name="Comma 4 3 5 5 4" xfId="11523" xr:uid="{FABDD11C-8020-49E5-BEC6-EE2722FC7E10}"/>
    <cellStyle name="Comma 4 3 5 6" xfId="2366" xr:uid="{00000000-0005-0000-0000-000065090000}"/>
    <cellStyle name="Comma 4 3 5 6 2" xfId="6650" xr:uid="{00000000-0005-0000-0000-0000211A0000}"/>
    <cellStyle name="Comma 4 3 5 6 2 2" xfId="16241" xr:uid="{316F8E3E-A943-4D03-AF9C-D59567CA12ED}"/>
    <cellStyle name="Comma 4 3 5 6 3" xfId="11958" xr:uid="{88068156-0C8F-40E1-B3F3-8F452227CC8B}"/>
    <cellStyle name="Comma 4 3 5 7" xfId="2662" xr:uid="{00000000-0005-0000-0000-00008D0A0000}"/>
    <cellStyle name="Comma 4 3 5 7 2" xfId="12254" xr:uid="{05E05334-E925-4C60-97B9-3128CFD8741C}"/>
    <cellStyle name="Comma 4 3 5 8" xfId="2744" xr:uid="{00000000-0005-0000-0000-0000DF0A0000}"/>
    <cellStyle name="Comma 4 3 5 8 2" xfId="6967" xr:uid="{00000000-0005-0000-0000-00005E1B0000}"/>
    <cellStyle name="Comma 4 3 5 8 2 2" xfId="16558" xr:uid="{6EC47D6C-2B85-48CC-A888-E731226AD66F}"/>
    <cellStyle name="Comma 4 3 5 8 3" xfId="12336" xr:uid="{0D90988F-4CBA-49B5-80D3-E4CE6FB37ECA}"/>
    <cellStyle name="Comma 4 3 5 9" xfId="4584" xr:uid="{00000000-0005-0000-0000-00000F120000}"/>
    <cellStyle name="Comma 4 3 5 9 2" xfId="14175" xr:uid="{49F31EDF-A2EF-4CF5-9322-F3D66645CB82}"/>
    <cellStyle name="Comma 4 3 6" xfId="9543" xr:uid="{00000000-0005-0000-0000-00006E250000}"/>
    <cellStyle name="Comma 4 3 7" xfId="8739" xr:uid="{00000000-0005-0000-0000-00004A220000}"/>
    <cellStyle name="Comma 4 3 8" xfId="9729" xr:uid="{968DADC9-5D73-4087-88DD-F3BB2AF6CFBC}"/>
    <cellStyle name="Comma 4 4" xfId="126" xr:uid="{00000000-0005-0000-0000-000099000000}"/>
    <cellStyle name="Comma 4 4 10" xfId="2745" xr:uid="{00000000-0005-0000-0000-0000E00A0000}"/>
    <cellStyle name="Comma 4 4 10 2" xfId="6968" xr:uid="{00000000-0005-0000-0000-00005F1B0000}"/>
    <cellStyle name="Comma 4 4 10 2 2" xfId="16559" xr:uid="{93A2D50B-CE41-4476-954B-AE219E7626BE}"/>
    <cellStyle name="Comma 4 4 10 3" xfId="12337" xr:uid="{742DF004-6614-47EE-9011-D5F81EDB9DCE}"/>
    <cellStyle name="Comma 4 4 11" xfId="4585" xr:uid="{00000000-0005-0000-0000-000010120000}"/>
    <cellStyle name="Comma 4 4 11 2" xfId="14176" xr:uid="{6BE93A88-2CE8-44A2-ACB5-948A066AB128}"/>
    <cellStyle name="Comma 4 4 12" xfId="8765" xr:uid="{00000000-0005-0000-0000-000064220000}"/>
    <cellStyle name="Comma 4 4 13" xfId="9738" xr:uid="{2748489D-CDC9-4574-B96D-F3187D30EF44}"/>
    <cellStyle name="Comma 4 4 2" xfId="127" xr:uid="{00000000-0005-0000-0000-00009A000000}"/>
    <cellStyle name="Comma 4 4 2 10" xfId="4586" xr:uid="{00000000-0005-0000-0000-000011120000}"/>
    <cellStyle name="Comma 4 4 2 10 2" xfId="14177" xr:uid="{9274784B-04B1-44F2-A86B-267359AA9B6F}"/>
    <cellStyle name="Comma 4 4 2 11" xfId="8868" xr:uid="{00000000-0005-0000-0000-0000CB220000}"/>
    <cellStyle name="Comma 4 4 2 12" xfId="9739" xr:uid="{192A8BFD-8486-47E9-9B57-8C54DD8096E5}"/>
    <cellStyle name="Comma 4 4 2 2" xfId="128" xr:uid="{00000000-0005-0000-0000-00009B000000}"/>
    <cellStyle name="Comma 4 4 2 2 10" xfId="9075" xr:uid="{00000000-0005-0000-0000-00009A230000}"/>
    <cellStyle name="Comma 4 4 2 2 11" xfId="9740" xr:uid="{B8D94E68-B0E6-4A69-9CD2-5176CCEEA211}"/>
    <cellStyle name="Comma 4 4 2 2 2" xfId="653" xr:uid="{00000000-0005-0000-0000-0000B4020000}"/>
    <cellStyle name="Comma 4 4 2 2 2 2" xfId="2924" xr:uid="{00000000-0005-0000-0000-0000930B0000}"/>
    <cellStyle name="Comma 4 4 2 2 2 2 2" xfId="7146" xr:uid="{00000000-0005-0000-0000-0000111C0000}"/>
    <cellStyle name="Comma 4 4 2 2 2 2 2 2" xfId="16737" xr:uid="{AE7AD001-6200-4E25-BC32-F1A0440F8D4A}"/>
    <cellStyle name="Comma 4 4 2 2 2 2 3" xfId="12516" xr:uid="{1B2D8214-CE48-4072-AAB2-B7F24EF3F4AC}"/>
    <cellStyle name="Comma 4 4 2 2 2 3" xfId="5001" xr:uid="{00000000-0005-0000-0000-0000B0130000}"/>
    <cellStyle name="Comma 4 4 2 2 2 3 2" xfId="14592" xr:uid="{8FC0E610-2382-417F-AD8A-13A5E5FBD813}"/>
    <cellStyle name="Comma 4 4 2 2 2 4" xfId="9500" xr:uid="{00000000-0005-0000-0000-000043250000}"/>
    <cellStyle name="Comma 4 4 2 2 2 5" xfId="10246" xr:uid="{AD2CD514-30B8-4F96-A035-6C19A81368A9}"/>
    <cellStyle name="Comma 4 4 2 2 3" xfId="1106" xr:uid="{00000000-0005-0000-0000-000079040000}"/>
    <cellStyle name="Comma 4 4 2 2 3 2" xfId="3337" xr:uid="{00000000-0005-0000-0000-0000300D0000}"/>
    <cellStyle name="Comma 4 4 2 2 3 2 2" xfId="7559" xr:uid="{00000000-0005-0000-0000-0000AE1D0000}"/>
    <cellStyle name="Comma 4 4 2 2 3 2 2 2" xfId="17150" xr:uid="{D1BBF3D9-6E0D-4C32-9BC0-743609435B9D}"/>
    <cellStyle name="Comma 4 4 2 2 3 2 3" xfId="12929" xr:uid="{56D4524F-F659-4A9D-8DBA-25E2C103FC38}"/>
    <cellStyle name="Comma 4 4 2 2 3 3" xfId="5414" xr:uid="{00000000-0005-0000-0000-00004D150000}"/>
    <cellStyle name="Comma 4 4 2 2 3 3 2" xfId="15005" xr:uid="{73B6D1C8-AFF0-4C7A-83B2-C16A56BEEFCA}"/>
    <cellStyle name="Comma 4 4 2 2 3 4" xfId="10699" xr:uid="{D0673910-7DE0-42E7-86D2-0E9E0E1C1F29}"/>
    <cellStyle name="Comma 4 4 2 2 4" xfId="1520" xr:uid="{00000000-0005-0000-0000-000017060000}"/>
    <cellStyle name="Comma 4 4 2 2 4 2" xfId="3750" xr:uid="{00000000-0005-0000-0000-0000CD0E0000}"/>
    <cellStyle name="Comma 4 4 2 2 4 2 2" xfId="7972" xr:uid="{00000000-0005-0000-0000-00004B1F0000}"/>
    <cellStyle name="Comma 4 4 2 2 4 2 2 2" xfId="17563" xr:uid="{C212C069-1641-41B0-95C7-42ED8E2F111C}"/>
    <cellStyle name="Comma 4 4 2 2 4 2 3" xfId="13342" xr:uid="{F5A58802-6332-486E-B261-62591B28EF2D}"/>
    <cellStyle name="Comma 4 4 2 2 4 3" xfId="5827" xr:uid="{00000000-0005-0000-0000-0000EA160000}"/>
    <cellStyle name="Comma 4 4 2 2 4 3 2" xfId="15418" xr:uid="{148824A4-AA15-485E-8B34-E30B3D52898F}"/>
    <cellStyle name="Comma 4 4 2 2 4 4" xfId="11113" xr:uid="{824B85A2-C82E-4F57-8B6A-76E56E09E874}"/>
    <cellStyle name="Comma 4 4 2 2 5" xfId="1934" xr:uid="{00000000-0005-0000-0000-0000B5070000}"/>
    <cellStyle name="Comma 4 4 2 2 5 2" xfId="4163" xr:uid="{00000000-0005-0000-0000-00006A100000}"/>
    <cellStyle name="Comma 4 4 2 2 5 2 2" xfId="8385" xr:uid="{00000000-0005-0000-0000-0000E8200000}"/>
    <cellStyle name="Comma 4 4 2 2 5 2 2 2" xfId="17976" xr:uid="{FEA1FEC5-1F5D-4B6C-815E-090D0439360E}"/>
    <cellStyle name="Comma 4 4 2 2 5 2 3" xfId="13755" xr:uid="{209F7E2A-A1AA-438C-9CD3-0BCA2C4CEC8D}"/>
    <cellStyle name="Comma 4 4 2 2 5 3" xfId="6240" xr:uid="{00000000-0005-0000-0000-000087180000}"/>
    <cellStyle name="Comma 4 4 2 2 5 3 2" xfId="15831" xr:uid="{2A734037-A042-4C8A-A18B-5C2A6F4B35D3}"/>
    <cellStyle name="Comma 4 4 2 2 5 4" xfId="11526" xr:uid="{5F99FDC3-03AD-44E3-A72C-0C8F324D27C7}"/>
    <cellStyle name="Comma 4 4 2 2 6" xfId="2369" xr:uid="{00000000-0005-0000-0000-000068090000}"/>
    <cellStyle name="Comma 4 4 2 2 6 2" xfId="6653" xr:uid="{00000000-0005-0000-0000-0000241A0000}"/>
    <cellStyle name="Comma 4 4 2 2 6 2 2" xfId="16244" xr:uid="{BCFAE933-B894-418B-907E-99FAFB5CE35C}"/>
    <cellStyle name="Comma 4 4 2 2 6 3" xfId="11961" xr:uid="{A03052CE-C446-42C8-9969-F24704D68E8C}"/>
    <cellStyle name="Comma 4 4 2 2 7" xfId="2665" xr:uid="{00000000-0005-0000-0000-0000900A0000}"/>
    <cellStyle name="Comma 4 4 2 2 7 2" xfId="12257" xr:uid="{A2F1C3DF-56F2-48A3-AF1A-2FAFF3FA871E}"/>
    <cellStyle name="Comma 4 4 2 2 8" xfId="2747" xr:uid="{00000000-0005-0000-0000-0000E20A0000}"/>
    <cellStyle name="Comma 4 4 2 2 8 2" xfId="6970" xr:uid="{00000000-0005-0000-0000-0000611B0000}"/>
    <cellStyle name="Comma 4 4 2 2 8 2 2" xfId="16561" xr:uid="{E6043DE5-483F-4CD5-B696-3F42F3521B9E}"/>
    <cellStyle name="Comma 4 4 2 2 8 3" xfId="12339" xr:uid="{DFBA1822-A7E5-4610-B0A3-639C6B975E1A}"/>
    <cellStyle name="Comma 4 4 2 2 9" xfId="4587" xr:uid="{00000000-0005-0000-0000-000012120000}"/>
    <cellStyle name="Comma 4 4 2 2 9 2" xfId="14178" xr:uid="{035087D3-6641-4874-B777-666F682F0D8E}"/>
    <cellStyle name="Comma 4 4 2 3" xfId="652" xr:uid="{00000000-0005-0000-0000-0000B3020000}"/>
    <cellStyle name="Comma 4 4 2 3 2" xfId="2923" xr:uid="{00000000-0005-0000-0000-0000920B0000}"/>
    <cellStyle name="Comma 4 4 2 3 2 2" xfId="7145" xr:uid="{00000000-0005-0000-0000-0000101C0000}"/>
    <cellStyle name="Comma 4 4 2 3 2 2 2" xfId="16736" xr:uid="{B956D176-423D-41CD-9F76-6E9F66966C35}"/>
    <cellStyle name="Comma 4 4 2 3 2 3" xfId="12515" xr:uid="{D4217AB5-8F7C-4C51-8331-35F29C831A35}"/>
    <cellStyle name="Comma 4 4 2 3 3" xfId="5000" xr:uid="{00000000-0005-0000-0000-0000AF130000}"/>
    <cellStyle name="Comma 4 4 2 3 3 2" xfId="14591" xr:uid="{794E8E18-5C8D-4AB6-A3EE-B5D181E05D73}"/>
    <cellStyle name="Comma 4 4 2 3 4" xfId="9293" xr:uid="{00000000-0005-0000-0000-000074240000}"/>
    <cellStyle name="Comma 4 4 2 3 5" xfId="10245" xr:uid="{AA9ED864-845F-49B4-978B-EAB4E6519A95}"/>
    <cellStyle name="Comma 4 4 2 4" xfId="1105" xr:uid="{00000000-0005-0000-0000-000078040000}"/>
    <cellStyle name="Comma 4 4 2 4 2" xfId="3336" xr:uid="{00000000-0005-0000-0000-00002F0D0000}"/>
    <cellStyle name="Comma 4 4 2 4 2 2" xfId="7558" xr:uid="{00000000-0005-0000-0000-0000AD1D0000}"/>
    <cellStyle name="Comma 4 4 2 4 2 2 2" xfId="17149" xr:uid="{5C1843ED-3331-4E37-953A-45ADF63FB503}"/>
    <cellStyle name="Comma 4 4 2 4 2 3" xfId="12928" xr:uid="{5D6EF822-7E8B-418A-84F9-F610B027FE8E}"/>
    <cellStyle name="Comma 4 4 2 4 3" xfId="5413" xr:uid="{00000000-0005-0000-0000-00004C150000}"/>
    <cellStyle name="Comma 4 4 2 4 3 2" xfId="15004" xr:uid="{2A9672FA-19E6-4A6A-8813-FEA156939941}"/>
    <cellStyle name="Comma 4 4 2 4 4" xfId="10698" xr:uid="{88EF9451-924D-435E-9DDC-37A3E27C0FD2}"/>
    <cellStyle name="Comma 4 4 2 5" xfId="1519" xr:uid="{00000000-0005-0000-0000-000016060000}"/>
    <cellStyle name="Comma 4 4 2 5 2" xfId="3749" xr:uid="{00000000-0005-0000-0000-0000CC0E0000}"/>
    <cellStyle name="Comma 4 4 2 5 2 2" xfId="7971" xr:uid="{00000000-0005-0000-0000-00004A1F0000}"/>
    <cellStyle name="Comma 4 4 2 5 2 2 2" xfId="17562" xr:uid="{7A2EE36C-EB07-48BC-BC53-F63F2EFF0E8D}"/>
    <cellStyle name="Comma 4 4 2 5 2 3" xfId="13341" xr:uid="{8039CC91-A73B-432A-A84C-FA7C2EC4EC2D}"/>
    <cellStyle name="Comma 4 4 2 5 3" xfId="5826" xr:uid="{00000000-0005-0000-0000-0000E9160000}"/>
    <cellStyle name="Comma 4 4 2 5 3 2" xfId="15417" xr:uid="{5AAAB1B1-59AC-4C3E-AF98-6ABA16880CE4}"/>
    <cellStyle name="Comma 4 4 2 5 4" xfId="11112" xr:uid="{B033E9D0-434C-421B-AE91-E7B316A612DE}"/>
    <cellStyle name="Comma 4 4 2 6" xfId="1933" xr:uid="{00000000-0005-0000-0000-0000B4070000}"/>
    <cellStyle name="Comma 4 4 2 6 2" xfId="4162" xr:uid="{00000000-0005-0000-0000-000069100000}"/>
    <cellStyle name="Comma 4 4 2 6 2 2" xfId="8384" xr:uid="{00000000-0005-0000-0000-0000E7200000}"/>
    <cellStyle name="Comma 4 4 2 6 2 2 2" xfId="17975" xr:uid="{36B0B7EF-5E34-45D3-B11A-C223457705C8}"/>
    <cellStyle name="Comma 4 4 2 6 2 3" xfId="13754" xr:uid="{7848FAF6-288B-4B31-9B68-6806502B250E}"/>
    <cellStyle name="Comma 4 4 2 6 3" xfId="6239" xr:uid="{00000000-0005-0000-0000-000086180000}"/>
    <cellStyle name="Comma 4 4 2 6 3 2" xfId="15830" xr:uid="{27B7F4E8-80BA-4FB7-8758-BFED8F192276}"/>
    <cellStyle name="Comma 4 4 2 6 4" xfId="11525" xr:uid="{8552936D-2F2D-4C17-B79D-42E3944C873E}"/>
    <cellStyle name="Comma 4 4 2 7" xfId="2368" xr:uid="{00000000-0005-0000-0000-000067090000}"/>
    <cellStyle name="Comma 4 4 2 7 2" xfId="6652" xr:uid="{00000000-0005-0000-0000-0000231A0000}"/>
    <cellStyle name="Comma 4 4 2 7 2 2" xfId="16243" xr:uid="{CA586096-582F-48FB-8E7D-A81BA760C208}"/>
    <cellStyle name="Comma 4 4 2 7 3" xfId="11960" xr:uid="{17C802B6-DDA9-41B7-B5E7-F5B9A031D278}"/>
    <cellStyle name="Comma 4 4 2 8" xfId="2664" xr:uid="{00000000-0005-0000-0000-00008F0A0000}"/>
    <cellStyle name="Comma 4 4 2 8 2" xfId="12256" xr:uid="{BE521708-32F0-45BA-B51E-D45CE02DC6B7}"/>
    <cellStyle name="Comma 4 4 2 9" xfId="2746" xr:uid="{00000000-0005-0000-0000-0000E10A0000}"/>
    <cellStyle name="Comma 4 4 2 9 2" xfId="6969" xr:uid="{00000000-0005-0000-0000-0000601B0000}"/>
    <cellStyle name="Comma 4 4 2 9 2 2" xfId="16560" xr:uid="{879EDB6A-5401-492A-BE03-8B6BDFBD5C5A}"/>
    <cellStyle name="Comma 4 4 2 9 3" xfId="12338" xr:uid="{0565F388-D50F-40A0-875B-9B97B9407202}"/>
    <cellStyle name="Comma 4 4 3" xfId="129" xr:uid="{00000000-0005-0000-0000-00009C000000}"/>
    <cellStyle name="Comma 4 4 3 10" xfId="8972" xr:uid="{00000000-0005-0000-0000-000033230000}"/>
    <cellStyle name="Comma 4 4 3 11" xfId="9741" xr:uid="{15CD90BC-43FB-4AF3-851F-49FB78B45172}"/>
    <cellStyle name="Comma 4 4 3 2" xfId="654" xr:uid="{00000000-0005-0000-0000-0000B5020000}"/>
    <cellStyle name="Comma 4 4 3 2 2" xfId="2925" xr:uid="{00000000-0005-0000-0000-0000940B0000}"/>
    <cellStyle name="Comma 4 4 3 2 2 2" xfId="7147" xr:uid="{00000000-0005-0000-0000-0000121C0000}"/>
    <cellStyle name="Comma 4 4 3 2 2 2 2" xfId="16738" xr:uid="{C5E4E5B2-A580-4E75-BD47-A07AC3A01BEA}"/>
    <cellStyle name="Comma 4 4 3 2 2 3" xfId="12517" xr:uid="{AA9EE38C-BA56-468A-8E73-34F9D4E2B48D}"/>
    <cellStyle name="Comma 4 4 3 2 3" xfId="5002" xr:uid="{00000000-0005-0000-0000-0000B1130000}"/>
    <cellStyle name="Comma 4 4 3 2 3 2" xfId="14593" xr:uid="{50CF0369-67D3-4977-8273-549241F6268C}"/>
    <cellStyle name="Comma 4 4 3 2 4" xfId="9397" xr:uid="{00000000-0005-0000-0000-0000DC240000}"/>
    <cellStyle name="Comma 4 4 3 2 5" xfId="10247" xr:uid="{AE076D08-E784-4BE1-B0AE-717C0CBB2A19}"/>
    <cellStyle name="Comma 4 4 3 3" xfId="1107" xr:uid="{00000000-0005-0000-0000-00007A040000}"/>
    <cellStyle name="Comma 4 4 3 3 2" xfId="3338" xr:uid="{00000000-0005-0000-0000-0000310D0000}"/>
    <cellStyle name="Comma 4 4 3 3 2 2" xfId="7560" xr:uid="{00000000-0005-0000-0000-0000AF1D0000}"/>
    <cellStyle name="Comma 4 4 3 3 2 2 2" xfId="17151" xr:uid="{76FD00D1-8A33-4D18-9571-2EBB501B7905}"/>
    <cellStyle name="Comma 4 4 3 3 2 3" xfId="12930" xr:uid="{3C0BE11E-B8D8-49F9-9ABB-0F843C95351E}"/>
    <cellStyle name="Comma 4 4 3 3 3" xfId="5415" xr:uid="{00000000-0005-0000-0000-00004E150000}"/>
    <cellStyle name="Comma 4 4 3 3 3 2" xfId="15006" xr:uid="{F3FCC2EB-1CD6-43AB-8E76-1D24553DD3E5}"/>
    <cellStyle name="Comma 4 4 3 3 4" xfId="10700" xr:uid="{562310C8-C07D-493E-883D-2CD8319E7649}"/>
    <cellStyle name="Comma 4 4 3 4" xfId="1521" xr:uid="{00000000-0005-0000-0000-000018060000}"/>
    <cellStyle name="Comma 4 4 3 4 2" xfId="3751" xr:uid="{00000000-0005-0000-0000-0000CE0E0000}"/>
    <cellStyle name="Comma 4 4 3 4 2 2" xfId="7973" xr:uid="{00000000-0005-0000-0000-00004C1F0000}"/>
    <cellStyle name="Comma 4 4 3 4 2 2 2" xfId="17564" xr:uid="{90465718-80AF-401F-B0E0-A5C9318D771C}"/>
    <cellStyle name="Comma 4 4 3 4 2 3" xfId="13343" xr:uid="{88FE7543-12A5-411D-8949-877CFECC11E7}"/>
    <cellStyle name="Comma 4 4 3 4 3" xfId="5828" xr:uid="{00000000-0005-0000-0000-0000EB160000}"/>
    <cellStyle name="Comma 4 4 3 4 3 2" xfId="15419" xr:uid="{F621FBF3-902C-4DB9-9E34-C8440F3A1524}"/>
    <cellStyle name="Comma 4 4 3 4 4" xfId="11114" xr:uid="{88D9A2D4-B65A-40E6-AB87-243A5C700740}"/>
    <cellStyle name="Comma 4 4 3 5" xfId="1935" xr:uid="{00000000-0005-0000-0000-0000B6070000}"/>
    <cellStyle name="Comma 4 4 3 5 2" xfId="4164" xr:uid="{00000000-0005-0000-0000-00006B100000}"/>
    <cellStyle name="Comma 4 4 3 5 2 2" xfId="8386" xr:uid="{00000000-0005-0000-0000-0000E9200000}"/>
    <cellStyle name="Comma 4 4 3 5 2 2 2" xfId="17977" xr:uid="{ED7B0435-C9E2-41FD-B893-9FD2D24DDE76}"/>
    <cellStyle name="Comma 4 4 3 5 2 3" xfId="13756" xr:uid="{6DAD8EA0-572A-452D-B4F3-3EB99190F88C}"/>
    <cellStyle name="Comma 4 4 3 5 3" xfId="6241" xr:uid="{00000000-0005-0000-0000-000088180000}"/>
    <cellStyle name="Comma 4 4 3 5 3 2" xfId="15832" xr:uid="{D5D4F772-41DB-4298-A1AB-BBD5ADC92141}"/>
    <cellStyle name="Comma 4 4 3 5 4" xfId="11527" xr:uid="{702BB3E0-5936-403F-9E74-CF00F1CDC184}"/>
    <cellStyle name="Comma 4 4 3 6" xfId="2370" xr:uid="{00000000-0005-0000-0000-000069090000}"/>
    <cellStyle name="Comma 4 4 3 6 2" xfId="6654" xr:uid="{00000000-0005-0000-0000-0000251A0000}"/>
    <cellStyle name="Comma 4 4 3 6 2 2" xfId="16245" xr:uid="{CAF1F4E4-2E30-4488-8B5B-1DFF803E8A25}"/>
    <cellStyle name="Comma 4 4 3 6 3" xfId="11962" xr:uid="{F06BE043-BB2B-4305-BA54-988A4E43FAD2}"/>
    <cellStyle name="Comma 4 4 3 7" xfId="2666" xr:uid="{00000000-0005-0000-0000-0000910A0000}"/>
    <cellStyle name="Comma 4 4 3 7 2" xfId="12258" xr:uid="{42EEDA1E-8056-4DE8-9B91-7466E97EBB8D}"/>
    <cellStyle name="Comma 4 4 3 8" xfId="2748" xr:uid="{00000000-0005-0000-0000-0000E30A0000}"/>
    <cellStyle name="Comma 4 4 3 8 2" xfId="6971" xr:uid="{00000000-0005-0000-0000-0000621B0000}"/>
    <cellStyle name="Comma 4 4 3 8 2 2" xfId="16562" xr:uid="{B843D71A-3EEE-4F5B-B5F2-17459B3C6D88}"/>
    <cellStyle name="Comma 4 4 3 8 3" xfId="12340" xr:uid="{4A96A612-8577-4202-A467-FE49DCDE8591}"/>
    <cellStyle name="Comma 4 4 3 9" xfId="4588" xr:uid="{00000000-0005-0000-0000-000013120000}"/>
    <cellStyle name="Comma 4 4 3 9 2" xfId="14179" xr:uid="{A1783A34-809C-41BD-A41C-14780351024A}"/>
    <cellStyle name="Comma 4 4 4" xfId="651" xr:uid="{00000000-0005-0000-0000-0000B2020000}"/>
    <cellStyle name="Comma 4 4 4 2" xfId="2922" xr:uid="{00000000-0005-0000-0000-0000910B0000}"/>
    <cellStyle name="Comma 4 4 4 2 2" xfId="7144" xr:uid="{00000000-0005-0000-0000-00000F1C0000}"/>
    <cellStyle name="Comma 4 4 4 2 2 2" xfId="16735" xr:uid="{4ECDA2D6-2A41-407A-B435-D66D48BCF025}"/>
    <cellStyle name="Comma 4 4 4 2 3" xfId="12514" xr:uid="{0FBA0466-5138-428E-B263-7D68ED61F548}"/>
    <cellStyle name="Comma 4 4 4 3" xfId="4999" xr:uid="{00000000-0005-0000-0000-0000AE130000}"/>
    <cellStyle name="Comma 4 4 4 3 2" xfId="14590" xr:uid="{330EA703-9E68-414F-9F84-1ED9246AFD53}"/>
    <cellStyle name="Comma 4 4 4 4" xfId="9190" xr:uid="{00000000-0005-0000-0000-00000D240000}"/>
    <cellStyle name="Comma 4 4 4 5" xfId="10244" xr:uid="{47029C50-F2AA-4EE8-B42E-16221E6DC67D}"/>
    <cellStyle name="Comma 4 4 5" xfId="1104" xr:uid="{00000000-0005-0000-0000-000077040000}"/>
    <cellStyle name="Comma 4 4 5 2" xfId="3335" xr:uid="{00000000-0005-0000-0000-00002E0D0000}"/>
    <cellStyle name="Comma 4 4 5 2 2" xfId="7557" xr:uid="{00000000-0005-0000-0000-0000AC1D0000}"/>
    <cellStyle name="Comma 4 4 5 2 2 2" xfId="17148" xr:uid="{EA80E713-139F-4B87-9E3C-14A6616A6677}"/>
    <cellStyle name="Comma 4 4 5 2 3" xfId="12927" xr:uid="{86584148-A918-4C26-8C06-14B612D03AFA}"/>
    <cellStyle name="Comma 4 4 5 3" xfId="5412" xr:uid="{00000000-0005-0000-0000-00004B150000}"/>
    <cellStyle name="Comma 4 4 5 3 2" xfId="15003" xr:uid="{A62E6F1F-79E5-4CE4-B953-FE180869F39B}"/>
    <cellStyle name="Comma 4 4 5 4" xfId="10697" xr:uid="{6830E286-C1E0-4410-9E2D-B592BCA23EF5}"/>
    <cellStyle name="Comma 4 4 6" xfId="1518" xr:uid="{00000000-0005-0000-0000-000015060000}"/>
    <cellStyle name="Comma 4 4 6 2" xfId="3748" xr:uid="{00000000-0005-0000-0000-0000CB0E0000}"/>
    <cellStyle name="Comma 4 4 6 2 2" xfId="7970" xr:uid="{00000000-0005-0000-0000-0000491F0000}"/>
    <cellStyle name="Comma 4 4 6 2 2 2" xfId="17561" xr:uid="{B08C6405-EE95-4781-AC80-5AEC33CFD2C5}"/>
    <cellStyle name="Comma 4 4 6 2 3" xfId="13340" xr:uid="{357764C4-E817-4525-88CF-B90BCA3D7D2C}"/>
    <cellStyle name="Comma 4 4 6 3" xfId="5825" xr:uid="{00000000-0005-0000-0000-0000E8160000}"/>
    <cellStyle name="Comma 4 4 6 3 2" xfId="15416" xr:uid="{F5E3194B-7D1D-4BD0-9C20-5D682E6AFECF}"/>
    <cellStyle name="Comma 4 4 6 4" xfId="11111" xr:uid="{D0862F04-E234-4C18-92CE-A6F493BE31C3}"/>
    <cellStyle name="Comma 4 4 7" xfId="1932" xr:uid="{00000000-0005-0000-0000-0000B3070000}"/>
    <cellStyle name="Comma 4 4 7 2" xfId="4161" xr:uid="{00000000-0005-0000-0000-000068100000}"/>
    <cellStyle name="Comma 4 4 7 2 2" xfId="8383" xr:uid="{00000000-0005-0000-0000-0000E6200000}"/>
    <cellStyle name="Comma 4 4 7 2 2 2" xfId="17974" xr:uid="{3F9E1232-055D-48F7-8D24-577CE1A469D7}"/>
    <cellStyle name="Comma 4 4 7 2 3" xfId="13753" xr:uid="{D66A113C-09D5-4862-9420-4FEA42E8C816}"/>
    <cellStyle name="Comma 4 4 7 3" xfId="6238" xr:uid="{00000000-0005-0000-0000-000085180000}"/>
    <cellStyle name="Comma 4 4 7 3 2" xfId="15829" xr:uid="{4E63A7DC-F926-4340-87FC-CABECC05F814}"/>
    <cellStyle name="Comma 4 4 7 4" xfId="11524" xr:uid="{0DEAC98B-164A-469A-B0A9-F23769D88274}"/>
    <cellStyle name="Comma 4 4 8" xfId="2367" xr:uid="{00000000-0005-0000-0000-000066090000}"/>
    <cellStyle name="Comma 4 4 8 2" xfId="6651" xr:uid="{00000000-0005-0000-0000-0000221A0000}"/>
    <cellStyle name="Comma 4 4 8 2 2" xfId="16242" xr:uid="{C943FC73-A9D6-45CF-8676-5B45DEDCFF8B}"/>
    <cellStyle name="Comma 4 4 8 3" xfId="11959" xr:uid="{556CCEBF-B8D6-4B4C-81B7-B8126F21C9F3}"/>
    <cellStyle name="Comma 4 4 9" xfId="2663" xr:uid="{00000000-0005-0000-0000-00008E0A0000}"/>
    <cellStyle name="Comma 4 4 9 2" xfId="12255" xr:uid="{EDAD182D-4E86-40AA-85D0-8FCAAAC677C8}"/>
    <cellStyle name="Comma 4 5" xfId="130" xr:uid="{00000000-0005-0000-0000-00009D000000}"/>
    <cellStyle name="Comma 4 5 10" xfId="4589" xr:uid="{00000000-0005-0000-0000-000014120000}"/>
    <cellStyle name="Comma 4 5 10 2" xfId="14180" xr:uid="{3D0F42CD-1EF3-4EF4-80F0-CDA57E5E4090}"/>
    <cellStyle name="Comma 4 5 11" xfId="8810" xr:uid="{00000000-0005-0000-0000-000091220000}"/>
    <cellStyle name="Comma 4 5 12" xfId="9742" xr:uid="{9A7013FB-CB21-464A-A89A-238E5ADF0AAA}"/>
    <cellStyle name="Comma 4 5 2" xfId="131" xr:uid="{00000000-0005-0000-0000-00009E000000}"/>
    <cellStyle name="Comma 4 5 2 10" xfId="9017" xr:uid="{00000000-0005-0000-0000-000060230000}"/>
    <cellStyle name="Comma 4 5 2 11" xfId="9743" xr:uid="{153CE160-9BE7-49DC-92A4-B036360A0C34}"/>
    <cellStyle name="Comma 4 5 2 2" xfId="656" xr:uid="{00000000-0005-0000-0000-0000B7020000}"/>
    <cellStyle name="Comma 4 5 2 2 2" xfId="2927" xr:uid="{00000000-0005-0000-0000-0000960B0000}"/>
    <cellStyle name="Comma 4 5 2 2 2 2" xfId="7149" xr:uid="{00000000-0005-0000-0000-0000141C0000}"/>
    <cellStyle name="Comma 4 5 2 2 2 2 2" xfId="16740" xr:uid="{A5022C30-EC82-4D63-B7F9-3A46D539F374}"/>
    <cellStyle name="Comma 4 5 2 2 2 3" xfId="12519" xr:uid="{7A92E95C-4559-4EF9-9C71-D15D297C0FA2}"/>
    <cellStyle name="Comma 4 5 2 2 3" xfId="5004" xr:uid="{00000000-0005-0000-0000-0000B3130000}"/>
    <cellStyle name="Comma 4 5 2 2 3 2" xfId="14595" xr:uid="{51EB0F26-CEA3-4551-892F-A8C021A439C5}"/>
    <cellStyle name="Comma 4 5 2 2 4" xfId="9442" xr:uid="{00000000-0005-0000-0000-000009250000}"/>
    <cellStyle name="Comma 4 5 2 2 5" xfId="10249" xr:uid="{B81ADA37-CE86-4745-A662-E9909E8C8233}"/>
    <cellStyle name="Comma 4 5 2 3" xfId="1109" xr:uid="{00000000-0005-0000-0000-00007C040000}"/>
    <cellStyle name="Comma 4 5 2 3 2" xfId="3340" xr:uid="{00000000-0005-0000-0000-0000330D0000}"/>
    <cellStyle name="Comma 4 5 2 3 2 2" xfId="7562" xr:uid="{00000000-0005-0000-0000-0000B11D0000}"/>
    <cellStyle name="Comma 4 5 2 3 2 2 2" xfId="17153" xr:uid="{EA09CCB4-D08E-44D5-A3A1-C1049E4A627F}"/>
    <cellStyle name="Comma 4 5 2 3 2 3" xfId="12932" xr:uid="{B6F360B0-BC3F-41E5-B103-C0D5EFB460B1}"/>
    <cellStyle name="Comma 4 5 2 3 3" xfId="5417" xr:uid="{00000000-0005-0000-0000-000050150000}"/>
    <cellStyle name="Comma 4 5 2 3 3 2" xfId="15008" xr:uid="{0E535186-A98E-449A-9F40-EE1D2BAE7653}"/>
    <cellStyle name="Comma 4 5 2 3 4" xfId="10702" xr:uid="{65718E30-8C2A-4EDE-9808-91298CAD2212}"/>
    <cellStyle name="Comma 4 5 2 4" xfId="1523" xr:uid="{00000000-0005-0000-0000-00001A060000}"/>
    <cellStyle name="Comma 4 5 2 4 2" xfId="3753" xr:uid="{00000000-0005-0000-0000-0000D00E0000}"/>
    <cellStyle name="Comma 4 5 2 4 2 2" xfId="7975" xr:uid="{00000000-0005-0000-0000-00004E1F0000}"/>
    <cellStyle name="Comma 4 5 2 4 2 2 2" xfId="17566" xr:uid="{20220008-E468-454B-B8C9-C84806FD2395}"/>
    <cellStyle name="Comma 4 5 2 4 2 3" xfId="13345" xr:uid="{28041B04-B44D-46C1-AB2A-CFFBFDD7311B}"/>
    <cellStyle name="Comma 4 5 2 4 3" xfId="5830" xr:uid="{00000000-0005-0000-0000-0000ED160000}"/>
    <cellStyle name="Comma 4 5 2 4 3 2" xfId="15421" xr:uid="{DF5E3BE7-92CC-47AC-95FA-5E7AB106C865}"/>
    <cellStyle name="Comma 4 5 2 4 4" xfId="11116" xr:uid="{31B1C0B4-9CC3-422A-A461-5A346EFBF108}"/>
    <cellStyle name="Comma 4 5 2 5" xfId="1937" xr:uid="{00000000-0005-0000-0000-0000B8070000}"/>
    <cellStyle name="Comma 4 5 2 5 2" xfId="4166" xr:uid="{00000000-0005-0000-0000-00006D100000}"/>
    <cellStyle name="Comma 4 5 2 5 2 2" xfId="8388" xr:uid="{00000000-0005-0000-0000-0000EB200000}"/>
    <cellStyle name="Comma 4 5 2 5 2 2 2" xfId="17979" xr:uid="{05778F33-A044-4308-B060-808092C214BB}"/>
    <cellStyle name="Comma 4 5 2 5 2 3" xfId="13758" xr:uid="{6BC3B377-74BB-4041-8E0A-2BC145B7EF56}"/>
    <cellStyle name="Comma 4 5 2 5 3" xfId="6243" xr:uid="{00000000-0005-0000-0000-00008A180000}"/>
    <cellStyle name="Comma 4 5 2 5 3 2" xfId="15834" xr:uid="{FF6724B3-8CE4-4B09-97EE-5F0D15EAFBA3}"/>
    <cellStyle name="Comma 4 5 2 5 4" xfId="11529" xr:uid="{F71D3FBB-6153-474A-B760-6B4AA3ABF951}"/>
    <cellStyle name="Comma 4 5 2 6" xfId="2372" xr:uid="{00000000-0005-0000-0000-00006B090000}"/>
    <cellStyle name="Comma 4 5 2 6 2" xfId="6656" xr:uid="{00000000-0005-0000-0000-0000271A0000}"/>
    <cellStyle name="Comma 4 5 2 6 2 2" xfId="16247" xr:uid="{7A11FE83-6733-4133-8784-3A3A2B029F6B}"/>
    <cellStyle name="Comma 4 5 2 6 3" xfId="11964" xr:uid="{0A19BA48-5C70-4977-B33B-63DD0794C418}"/>
    <cellStyle name="Comma 4 5 2 7" xfId="2668" xr:uid="{00000000-0005-0000-0000-0000930A0000}"/>
    <cellStyle name="Comma 4 5 2 7 2" xfId="12260" xr:uid="{CBEE6158-15C4-4E46-927A-15C7F4B2AA79}"/>
    <cellStyle name="Comma 4 5 2 8" xfId="2750" xr:uid="{00000000-0005-0000-0000-0000E50A0000}"/>
    <cellStyle name="Comma 4 5 2 8 2" xfId="6973" xr:uid="{00000000-0005-0000-0000-0000641B0000}"/>
    <cellStyle name="Comma 4 5 2 8 2 2" xfId="16564" xr:uid="{5E9930F4-4E69-4D3A-8D29-A7F7F8FB3B45}"/>
    <cellStyle name="Comma 4 5 2 8 3" xfId="12342" xr:uid="{BE1FCC50-167B-46A1-9C06-7983283B0E30}"/>
    <cellStyle name="Comma 4 5 2 9" xfId="4590" xr:uid="{00000000-0005-0000-0000-000015120000}"/>
    <cellStyle name="Comma 4 5 2 9 2" xfId="14181" xr:uid="{0532A8CA-27E2-4372-87C3-4C2ECB49ABA7}"/>
    <cellStyle name="Comma 4 5 3" xfId="655" xr:uid="{00000000-0005-0000-0000-0000B6020000}"/>
    <cellStyle name="Comma 4 5 3 2" xfId="2926" xr:uid="{00000000-0005-0000-0000-0000950B0000}"/>
    <cellStyle name="Comma 4 5 3 2 2" xfId="7148" xr:uid="{00000000-0005-0000-0000-0000131C0000}"/>
    <cellStyle name="Comma 4 5 3 2 2 2" xfId="16739" xr:uid="{B1366287-1D06-4B0D-BAD0-41853C39600A}"/>
    <cellStyle name="Comma 4 5 3 2 3" xfId="12518" xr:uid="{CFCCC127-2F4F-4AF0-8D8D-B82642FDD4E3}"/>
    <cellStyle name="Comma 4 5 3 3" xfId="5003" xr:uid="{00000000-0005-0000-0000-0000B2130000}"/>
    <cellStyle name="Comma 4 5 3 3 2" xfId="14594" xr:uid="{3FBB5656-B549-4C5F-AF50-F838C0C9BB9B}"/>
    <cellStyle name="Comma 4 5 3 4" xfId="9235" xr:uid="{00000000-0005-0000-0000-00003A240000}"/>
    <cellStyle name="Comma 4 5 3 5" xfId="10248" xr:uid="{7E9E1A0A-B73A-48C5-8F9A-84C2CE580640}"/>
    <cellStyle name="Comma 4 5 4" xfId="1108" xr:uid="{00000000-0005-0000-0000-00007B040000}"/>
    <cellStyle name="Comma 4 5 4 2" xfId="3339" xr:uid="{00000000-0005-0000-0000-0000320D0000}"/>
    <cellStyle name="Comma 4 5 4 2 2" xfId="7561" xr:uid="{00000000-0005-0000-0000-0000B01D0000}"/>
    <cellStyle name="Comma 4 5 4 2 2 2" xfId="17152" xr:uid="{57927620-DD2D-4459-88E7-A1BFFA39DE02}"/>
    <cellStyle name="Comma 4 5 4 2 3" xfId="12931" xr:uid="{7CD9C672-6F38-4B45-8C69-C511B431EC24}"/>
    <cellStyle name="Comma 4 5 4 3" xfId="5416" xr:uid="{00000000-0005-0000-0000-00004F150000}"/>
    <cellStyle name="Comma 4 5 4 3 2" xfId="15007" xr:uid="{15852491-3BD9-4DBC-AB17-9B7548BE866C}"/>
    <cellStyle name="Comma 4 5 4 4" xfId="10701" xr:uid="{59689BC8-2E18-4AB3-9F03-F8BAB8C4A057}"/>
    <cellStyle name="Comma 4 5 5" xfId="1522" xr:uid="{00000000-0005-0000-0000-000019060000}"/>
    <cellStyle name="Comma 4 5 5 2" xfId="3752" xr:uid="{00000000-0005-0000-0000-0000CF0E0000}"/>
    <cellStyle name="Comma 4 5 5 2 2" xfId="7974" xr:uid="{00000000-0005-0000-0000-00004D1F0000}"/>
    <cellStyle name="Comma 4 5 5 2 2 2" xfId="17565" xr:uid="{992CB0C2-DAF2-4BAA-BD72-15D26CCFFBA5}"/>
    <cellStyle name="Comma 4 5 5 2 3" xfId="13344" xr:uid="{CFE490D7-0236-4DC7-B31B-BFD6B9530178}"/>
    <cellStyle name="Comma 4 5 5 3" xfId="5829" xr:uid="{00000000-0005-0000-0000-0000EC160000}"/>
    <cellStyle name="Comma 4 5 5 3 2" xfId="15420" xr:uid="{7E374171-D45F-450E-BFE1-785695AD4972}"/>
    <cellStyle name="Comma 4 5 5 4" xfId="11115" xr:uid="{9D09B331-A599-4EB4-AB33-66163AAD0EFC}"/>
    <cellStyle name="Comma 4 5 6" xfId="1936" xr:uid="{00000000-0005-0000-0000-0000B7070000}"/>
    <cellStyle name="Comma 4 5 6 2" xfId="4165" xr:uid="{00000000-0005-0000-0000-00006C100000}"/>
    <cellStyle name="Comma 4 5 6 2 2" xfId="8387" xr:uid="{00000000-0005-0000-0000-0000EA200000}"/>
    <cellStyle name="Comma 4 5 6 2 2 2" xfId="17978" xr:uid="{FCF55082-3B63-4F5A-989C-3519D265169C}"/>
    <cellStyle name="Comma 4 5 6 2 3" xfId="13757" xr:uid="{1629562F-55D9-4C8E-9A8C-8E03D9935417}"/>
    <cellStyle name="Comma 4 5 6 3" xfId="6242" xr:uid="{00000000-0005-0000-0000-000089180000}"/>
    <cellStyle name="Comma 4 5 6 3 2" xfId="15833" xr:uid="{A9FA840F-6704-4517-8C7E-4D081F19AE68}"/>
    <cellStyle name="Comma 4 5 6 4" xfId="11528" xr:uid="{FD44996C-1E72-4A96-8AD0-AED6F3A1C83A}"/>
    <cellStyle name="Comma 4 5 7" xfId="2371" xr:uid="{00000000-0005-0000-0000-00006A090000}"/>
    <cellStyle name="Comma 4 5 7 2" xfId="6655" xr:uid="{00000000-0005-0000-0000-0000261A0000}"/>
    <cellStyle name="Comma 4 5 7 2 2" xfId="16246" xr:uid="{0B8E8614-BB7A-4190-86F8-559F837E57B5}"/>
    <cellStyle name="Comma 4 5 7 3" xfId="11963" xr:uid="{04126147-DC45-461B-AE11-D6B893FFB465}"/>
    <cellStyle name="Comma 4 5 8" xfId="2667" xr:uid="{00000000-0005-0000-0000-0000920A0000}"/>
    <cellStyle name="Comma 4 5 8 2" xfId="12259" xr:uid="{D43EDE16-725E-44DC-B10E-BF115E5EFC2D}"/>
    <cellStyle name="Comma 4 5 9" xfId="2749" xr:uid="{00000000-0005-0000-0000-0000E40A0000}"/>
    <cellStyle name="Comma 4 5 9 2" xfId="6972" xr:uid="{00000000-0005-0000-0000-0000631B0000}"/>
    <cellStyle name="Comma 4 5 9 2 2" xfId="16563" xr:uid="{66347319-BD8D-4DF2-AE81-7A02F96AF9B0}"/>
    <cellStyle name="Comma 4 5 9 3" xfId="12341" xr:uid="{B3DD15B1-7048-4CED-BE65-26E61E7E902E}"/>
    <cellStyle name="Comma 4 6" xfId="132" xr:uid="{00000000-0005-0000-0000-00009F000000}"/>
    <cellStyle name="Comma 4 6 10" xfId="8926" xr:uid="{00000000-0005-0000-0000-000005230000}"/>
    <cellStyle name="Comma 4 6 11" xfId="9744" xr:uid="{2943B399-B333-4560-9C1A-1AC34BF25DB2}"/>
    <cellStyle name="Comma 4 6 2" xfId="657" xr:uid="{00000000-0005-0000-0000-0000B8020000}"/>
    <cellStyle name="Comma 4 6 2 2" xfId="2928" xr:uid="{00000000-0005-0000-0000-0000970B0000}"/>
    <cellStyle name="Comma 4 6 2 2 2" xfId="7150" xr:uid="{00000000-0005-0000-0000-0000151C0000}"/>
    <cellStyle name="Comma 4 6 2 2 2 2" xfId="16741" xr:uid="{3B8BE9CD-B983-4AA7-8261-2BBFA45AB559}"/>
    <cellStyle name="Comma 4 6 2 2 3" xfId="12520" xr:uid="{638D381A-AD60-4957-82B3-A6BBF639854F}"/>
    <cellStyle name="Comma 4 6 2 3" xfId="5005" xr:uid="{00000000-0005-0000-0000-0000B4130000}"/>
    <cellStyle name="Comma 4 6 2 3 2" xfId="14596" xr:uid="{48581A84-B8C6-4409-94CB-DC99AC58E855}"/>
    <cellStyle name="Comma 4 6 2 4" xfId="9351" xr:uid="{00000000-0005-0000-0000-0000AE240000}"/>
    <cellStyle name="Comma 4 6 2 5" xfId="10250" xr:uid="{1CC919D9-8838-41E9-9E77-5B0D7902FACB}"/>
    <cellStyle name="Comma 4 6 3" xfId="1110" xr:uid="{00000000-0005-0000-0000-00007D040000}"/>
    <cellStyle name="Comma 4 6 3 2" xfId="3341" xr:uid="{00000000-0005-0000-0000-0000340D0000}"/>
    <cellStyle name="Comma 4 6 3 2 2" xfId="7563" xr:uid="{00000000-0005-0000-0000-0000B21D0000}"/>
    <cellStyle name="Comma 4 6 3 2 2 2" xfId="17154" xr:uid="{4DCA8871-4798-47F4-AB47-DFAA22B15346}"/>
    <cellStyle name="Comma 4 6 3 2 3" xfId="12933" xr:uid="{EF290CE4-28DE-4224-ABD6-487080559087}"/>
    <cellStyle name="Comma 4 6 3 3" xfId="5418" xr:uid="{00000000-0005-0000-0000-000051150000}"/>
    <cellStyle name="Comma 4 6 3 3 2" xfId="15009" xr:uid="{04314878-727D-4D47-9923-EF7DB6C5F675}"/>
    <cellStyle name="Comma 4 6 3 4" xfId="10703" xr:uid="{EA5B4118-A8A2-4AEC-9B16-8DA8C7462F87}"/>
    <cellStyle name="Comma 4 6 4" xfId="1524" xr:uid="{00000000-0005-0000-0000-00001B060000}"/>
    <cellStyle name="Comma 4 6 4 2" xfId="3754" xr:uid="{00000000-0005-0000-0000-0000D10E0000}"/>
    <cellStyle name="Comma 4 6 4 2 2" xfId="7976" xr:uid="{00000000-0005-0000-0000-00004F1F0000}"/>
    <cellStyle name="Comma 4 6 4 2 2 2" xfId="17567" xr:uid="{155F920B-6665-44CB-B8EA-B4B85113840C}"/>
    <cellStyle name="Comma 4 6 4 2 3" xfId="13346" xr:uid="{0C966754-812F-4627-BB1A-3FFA1433EA62}"/>
    <cellStyle name="Comma 4 6 4 3" xfId="5831" xr:uid="{00000000-0005-0000-0000-0000EE160000}"/>
    <cellStyle name="Comma 4 6 4 3 2" xfId="15422" xr:uid="{C30B3E11-E67D-404D-9F63-AC1A74391B47}"/>
    <cellStyle name="Comma 4 6 4 4" xfId="11117" xr:uid="{440E19D5-91F1-496B-B1DB-BCC096B08BFC}"/>
    <cellStyle name="Comma 4 6 5" xfId="1938" xr:uid="{00000000-0005-0000-0000-0000B9070000}"/>
    <cellStyle name="Comma 4 6 5 2" xfId="4167" xr:uid="{00000000-0005-0000-0000-00006E100000}"/>
    <cellStyle name="Comma 4 6 5 2 2" xfId="8389" xr:uid="{00000000-0005-0000-0000-0000EC200000}"/>
    <cellStyle name="Comma 4 6 5 2 2 2" xfId="17980" xr:uid="{613B329F-91F2-4829-B284-B038D8FDDDC5}"/>
    <cellStyle name="Comma 4 6 5 2 3" xfId="13759" xr:uid="{571B7612-3560-46A9-B418-B211625871B7}"/>
    <cellStyle name="Comma 4 6 5 3" xfId="6244" xr:uid="{00000000-0005-0000-0000-00008B180000}"/>
    <cellStyle name="Comma 4 6 5 3 2" xfId="15835" xr:uid="{CB18A29F-4DB8-43B5-98E6-F2B8F905F0AB}"/>
    <cellStyle name="Comma 4 6 5 4" xfId="11530" xr:uid="{0DEF282B-3B63-45C7-BF73-215385969AAA}"/>
    <cellStyle name="Comma 4 6 6" xfId="2373" xr:uid="{00000000-0005-0000-0000-00006C090000}"/>
    <cellStyle name="Comma 4 6 6 2" xfId="6657" xr:uid="{00000000-0005-0000-0000-0000281A0000}"/>
    <cellStyle name="Comma 4 6 6 2 2" xfId="16248" xr:uid="{D656267C-79BB-4EF4-9D89-453C4ACA8136}"/>
    <cellStyle name="Comma 4 6 6 3" xfId="11965" xr:uid="{0650A9F5-F891-41AE-89ED-135791DD7662}"/>
    <cellStyle name="Comma 4 6 7" xfId="2669" xr:uid="{00000000-0005-0000-0000-0000940A0000}"/>
    <cellStyle name="Comma 4 6 7 2" xfId="12261" xr:uid="{F1432A21-531C-480D-B5F4-398AA1041EE7}"/>
    <cellStyle name="Comma 4 6 8" xfId="2751" xr:uid="{00000000-0005-0000-0000-0000E60A0000}"/>
    <cellStyle name="Comma 4 6 8 2" xfId="6974" xr:uid="{00000000-0005-0000-0000-0000651B0000}"/>
    <cellStyle name="Comma 4 6 8 2 2" xfId="16565" xr:uid="{2832A125-EA7B-4C7E-8389-A4634D6F7A5E}"/>
    <cellStyle name="Comma 4 6 8 3" xfId="12343" xr:uid="{9A753AC4-CF8B-4313-934E-716E48B0BAF2}"/>
    <cellStyle name="Comma 4 6 9" xfId="4591" xr:uid="{00000000-0005-0000-0000-000016120000}"/>
    <cellStyle name="Comma 4 6 9 2" xfId="14182" xr:uid="{3A6DBCDD-F431-41C8-BB01-01B1A7107686}"/>
    <cellStyle name="Comma 4 7" xfId="133" xr:uid="{00000000-0005-0000-0000-0000A0000000}"/>
    <cellStyle name="Comma 4 7 10" xfId="9129" xr:uid="{00000000-0005-0000-0000-0000D0230000}"/>
    <cellStyle name="Comma 4 7 11" xfId="9745" xr:uid="{407229CB-5F97-41BE-BC7B-177B129C5081}"/>
    <cellStyle name="Comma 4 7 2" xfId="658" xr:uid="{00000000-0005-0000-0000-0000B9020000}"/>
    <cellStyle name="Comma 4 7 2 2" xfId="2929" xr:uid="{00000000-0005-0000-0000-0000980B0000}"/>
    <cellStyle name="Comma 4 7 2 2 2" xfId="7151" xr:uid="{00000000-0005-0000-0000-0000161C0000}"/>
    <cellStyle name="Comma 4 7 2 2 2 2" xfId="16742" xr:uid="{41881F7C-DA9A-45AF-9724-08C8AF77FCCC}"/>
    <cellStyle name="Comma 4 7 2 2 3" xfId="12521" xr:uid="{E0F7C0FF-EEA5-4F3C-993E-3FBB7D5BD8ED}"/>
    <cellStyle name="Comma 4 7 2 3" xfId="5006" xr:uid="{00000000-0005-0000-0000-0000B5130000}"/>
    <cellStyle name="Comma 4 7 2 3 2" xfId="14597" xr:uid="{128B2ED3-CBAE-46B7-B393-A17C227074BB}"/>
    <cellStyle name="Comma 4 7 2 4" xfId="9557" xr:uid="{00000000-0005-0000-0000-00007C250000}"/>
    <cellStyle name="Comma 4 7 2 5" xfId="10251" xr:uid="{A9DF4463-D7FA-4061-82B0-0229C83AE139}"/>
    <cellStyle name="Comma 4 7 3" xfId="1111" xr:uid="{00000000-0005-0000-0000-00007E040000}"/>
    <cellStyle name="Comma 4 7 3 2" xfId="3342" xr:uid="{00000000-0005-0000-0000-0000350D0000}"/>
    <cellStyle name="Comma 4 7 3 2 2" xfId="7564" xr:uid="{00000000-0005-0000-0000-0000B31D0000}"/>
    <cellStyle name="Comma 4 7 3 2 2 2" xfId="17155" xr:uid="{C0A234B5-0D0F-484F-9C09-027756E91B48}"/>
    <cellStyle name="Comma 4 7 3 2 3" xfId="12934" xr:uid="{2F258264-4056-4010-A2F4-2CFDAB2F4C68}"/>
    <cellStyle name="Comma 4 7 3 3" xfId="5419" xr:uid="{00000000-0005-0000-0000-000052150000}"/>
    <cellStyle name="Comma 4 7 3 3 2" xfId="15010" xr:uid="{39046A96-2EAA-47DA-BE6F-3EFB2DF565C4}"/>
    <cellStyle name="Comma 4 7 3 4" xfId="10704" xr:uid="{6DEBD246-A71B-479C-A408-5C3BAD4E6EE5}"/>
    <cellStyle name="Comma 4 7 4" xfId="1525" xr:uid="{00000000-0005-0000-0000-00001C060000}"/>
    <cellStyle name="Comma 4 7 4 2" xfId="3755" xr:uid="{00000000-0005-0000-0000-0000D20E0000}"/>
    <cellStyle name="Comma 4 7 4 2 2" xfId="7977" xr:uid="{00000000-0005-0000-0000-0000501F0000}"/>
    <cellStyle name="Comma 4 7 4 2 2 2" xfId="17568" xr:uid="{09DC34C5-F4C3-4EE8-B0D0-DED76125E684}"/>
    <cellStyle name="Comma 4 7 4 2 3" xfId="13347" xr:uid="{1C3D7574-20DA-43DD-9623-32D64B705FF8}"/>
    <cellStyle name="Comma 4 7 4 3" xfId="5832" xr:uid="{00000000-0005-0000-0000-0000EF160000}"/>
    <cellStyle name="Comma 4 7 4 3 2" xfId="15423" xr:uid="{91CCB5B0-158D-4BAD-9824-918FBE791BFE}"/>
    <cellStyle name="Comma 4 7 4 4" xfId="11118" xr:uid="{F52676BB-FE2F-4B73-A4A8-FC1BC14F2A92}"/>
    <cellStyle name="Comma 4 7 5" xfId="1939" xr:uid="{00000000-0005-0000-0000-0000BA070000}"/>
    <cellStyle name="Comma 4 7 5 2" xfId="4168" xr:uid="{00000000-0005-0000-0000-00006F100000}"/>
    <cellStyle name="Comma 4 7 5 2 2" xfId="8390" xr:uid="{00000000-0005-0000-0000-0000ED200000}"/>
    <cellStyle name="Comma 4 7 5 2 2 2" xfId="17981" xr:uid="{17196B67-237B-4ED8-A4EE-070CFAFD8B61}"/>
    <cellStyle name="Comma 4 7 5 2 3" xfId="13760" xr:uid="{C8BEDADC-C8B6-4D5F-84AC-71DFB4F93410}"/>
    <cellStyle name="Comma 4 7 5 3" xfId="6245" xr:uid="{00000000-0005-0000-0000-00008C180000}"/>
    <cellStyle name="Comma 4 7 5 3 2" xfId="15836" xr:uid="{F9CB4445-884A-4F51-89E0-26891370961F}"/>
    <cellStyle name="Comma 4 7 5 4" xfId="11531" xr:uid="{FF4B1B1A-4C23-4C3A-B2C3-C9A5FA9568EF}"/>
    <cellStyle name="Comma 4 7 6" xfId="2374" xr:uid="{00000000-0005-0000-0000-00006D090000}"/>
    <cellStyle name="Comma 4 7 6 2" xfId="6658" xr:uid="{00000000-0005-0000-0000-0000291A0000}"/>
    <cellStyle name="Comma 4 7 6 2 2" xfId="16249" xr:uid="{12353BC7-3F9C-4E44-AA40-ED91DF0939E5}"/>
    <cellStyle name="Comma 4 7 6 3" xfId="11966" xr:uid="{0D55A1E4-ACD3-4C8B-AE34-B04DCA86BAE0}"/>
    <cellStyle name="Comma 4 7 7" xfId="2670" xr:uid="{00000000-0005-0000-0000-0000950A0000}"/>
    <cellStyle name="Comma 4 7 7 2" xfId="12262" xr:uid="{D006C04A-48C4-4CE5-8A4A-527FE8BB04C2}"/>
    <cellStyle name="Comma 4 7 8" xfId="2752" xr:uid="{00000000-0005-0000-0000-0000E70A0000}"/>
    <cellStyle name="Comma 4 7 8 2" xfId="6975" xr:uid="{00000000-0005-0000-0000-0000661B0000}"/>
    <cellStyle name="Comma 4 7 8 2 2" xfId="16566" xr:uid="{CD862C47-36EF-411B-B520-98C39FCC6BAB}"/>
    <cellStyle name="Comma 4 7 8 3" xfId="12344" xr:uid="{FEEC15AB-8593-4C7B-B016-9791129068DC}"/>
    <cellStyle name="Comma 4 7 9" xfId="4592" xr:uid="{00000000-0005-0000-0000-000017120000}"/>
    <cellStyle name="Comma 4 7 9 2" xfId="14183" xr:uid="{B3133367-F1B2-41F0-A1FB-F4EFC02C0C31}"/>
    <cellStyle name="Comma 4 8" xfId="9154" xr:uid="{00000000-0005-0000-0000-0000E9230000}"/>
    <cellStyle name="Comma 4 9" xfId="8707" xr:uid="{00000000-0005-0000-0000-00002A220000}"/>
    <cellStyle name="Comma 5" xfId="134" xr:uid="{00000000-0005-0000-0000-0000A1000000}"/>
    <cellStyle name="Comma 5 2" xfId="135" xr:uid="{00000000-0005-0000-0000-0000A2000000}"/>
    <cellStyle name="Comma 5 2 2" xfId="659" xr:uid="{00000000-0005-0000-0000-0000BA020000}"/>
    <cellStyle name="Comma 5 2 2 2" xfId="10252" xr:uid="{9375A86E-7421-4A29-AEB4-CE6D9AD75B17}"/>
    <cellStyle name="Comma 5 2 3" xfId="9747" xr:uid="{F32300BD-DD94-4C89-9679-8F54CD6BCD76}"/>
    <cellStyle name="Comma 5 3" xfId="9746" xr:uid="{1A706A83-4B01-4CC1-83DA-5C1ECA5E7AF8}"/>
    <cellStyle name="Comma 6" xfId="136" xr:uid="{00000000-0005-0000-0000-0000A3000000}"/>
    <cellStyle name="Comma 6 2" xfId="9748" xr:uid="{DD0C6238-0252-4F42-986F-D373CD13DAE2}"/>
    <cellStyle name="Comma 7" xfId="4459" xr:uid="{00000000-0005-0000-0000-000092110000}"/>
    <cellStyle name="Comma 7 2" xfId="9552" xr:uid="{00000000-0005-0000-0000-000077250000}"/>
    <cellStyle name="Comma 7 3" xfId="9550" xr:uid="{00000000-0005-0000-0000-000075250000}"/>
    <cellStyle name="Comma 7 4" xfId="14050" xr:uid="{1B6A93FF-B100-49C0-A3F9-0E1E46167D90}"/>
    <cellStyle name="Comma 8" xfId="14055" xr:uid="{0FECEC11-A4F4-4521-A930-B48C0B1A73D1}"/>
    <cellStyle name="Currency" xfId="8682" builtinId="4"/>
    <cellStyle name="Currency 10" xfId="137" xr:uid="{00000000-0005-0000-0000-0000A4000000}"/>
    <cellStyle name="Currency 10 2" xfId="138" xr:uid="{00000000-0005-0000-0000-0000A5000000}"/>
    <cellStyle name="Currency 10 2 2" xfId="661" xr:uid="{00000000-0005-0000-0000-0000BC020000}"/>
    <cellStyle name="Currency 10 2 2 2" xfId="10254" xr:uid="{4D55106C-4837-4404-B2C4-B69681A9938D}"/>
    <cellStyle name="Currency 10 2 3" xfId="9750" xr:uid="{86692A34-0106-41C9-9328-3EADAD70B117}"/>
    <cellStyle name="Currency 10 3" xfId="139" xr:uid="{00000000-0005-0000-0000-0000A6000000}"/>
    <cellStyle name="Currency 10 3 2" xfId="662" xr:uid="{00000000-0005-0000-0000-0000BD020000}"/>
    <cellStyle name="Currency 10 3 2 2" xfId="10255" xr:uid="{BA0CC26A-A36A-49F4-9ED2-2717779056DB}"/>
    <cellStyle name="Currency 10 3 3" xfId="9751" xr:uid="{7408F650-8FB1-44F6-BBC6-0B72A86E56ED}"/>
    <cellStyle name="Currency 10 4" xfId="140" xr:uid="{00000000-0005-0000-0000-0000A7000000}"/>
    <cellStyle name="Currency 10 4 2" xfId="9752" xr:uid="{3F0D4567-FB7C-4A60-90CD-E6867B03A94C}"/>
    <cellStyle name="Currency 10 5" xfId="660" xr:uid="{00000000-0005-0000-0000-0000BB020000}"/>
    <cellStyle name="Currency 10 5 2" xfId="10253" xr:uid="{DE87ED5D-C0E6-48A5-873B-28F8D1D47328}"/>
    <cellStyle name="Currency 10 6" xfId="9749" xr:uid="{AD93DC59-0985-48CB-92AC-DEEA24E69AB6}"/>
    <cellStyle name="Currency 11" xfId="141" xr:uid="{00000000-0005-0000-0000-0000A8000000}"/>
    <cellStyle name="Currency 11 2" xfId="142" xr:uid="{00000000-0005-0000-0000-0000A9000000}"/>
    <cellStyle name="Currency 11 2 2" xfId="664" xr:uid="{00000000-0005-0000-0000-0000BF020000}"/>
    <cellStyle name="Currency 11 2 2 2" xfId="10257" xr:uid="{59575354-FC0A-46F1-9A5B-C654360B3DBD}"/>
    <cellStyle name="Currency 11 2 3" xfId="9754" xr:uid="{4AC28407-A285-4A37-986A-C0C3445B9841}"/>
    <cellStyle name="Currency 11 3" xfId="663" xr:uid="{00000000-0005-0000-0000-0000BE020000}"/>
    <cellStyle name="Currency 11 3 2" xfId="10256" xr:uid="{7AA36F8C-65D5-4ACA-83FC-703FF0FEA47F}"/>
    <cellStyle name="Currency 11 4" xfId="9753" xr:uid="{5345E4D5-66B4-4AFA-84FA-22F4956F175E}"/>
    <cellStyle name="Currency 12" xfId="143" xr:uid="{00000000-0005-0000-0000-0000AA000000}"/>
    <cellStyle name="Currency 12 2" xfId="666" xr:uid="{00000000-0005-0000-0000-0000C1020000}"/>
    <cellStyle name="Currency 12 2 2" xfId="10259" xr:uid="{5D000170-C9F1-426B-8606-AF93D860576A}"/>
    <cellStyle name="Currency 12 3" xfId="665" xr:uid="{00000000-0005-0000-0000-0000C0020000}"/>
    <cellStyle name="Currency 12 3 2" xfId="10258" xr:uid="{42348FC4-3175-4D3F-8604-87AE76D3EA82}"/>
    <cellStyle name="Currency 12 4" xfId="9755" xr:uid="{22AE369A-E794-4EF7-8BEF-7D4F41838410}"/>
    <cellStyle name="Currency 13" xfId="2671" xr:uid="{00000000-0005-0000-0000-0000960A0000}"/>
    <cellStyle name="Currency 13 2" xfId="4454" xr:uid="{00000000-0005-0000-0000-00008D110000}"/>
    <cellStyle name="Currency 13 2 2" xfId="14046" xr:uid="{9F1EDBD8-1C70-4FDE-84C2-32B0C19D26E2}"/>
    <cellStyle name="Currency 13 3" xfId="2407" xr:uid="{00000000-0005-0000-0000-00008E090000}"/>
    <cellStyle name="Currency 13 3 2" xfId="11999" xr:uid="{3AF06EB0-B1CE-4B81-9634-FF7E53CCB68C}"/>
    <cellStyle name="Currency 13 4" xfId="12263" xr:uid="{8F99D642-0552-4CB9-A878-9A931E1F6E60}"/>
    <cellStyle name="Currency 14" xfId="4462" xr:uid="{00000000-0005-0000-0000-000095110000}"/>
    <cellStyle name="Currency 14 2" xfId="8677" xr:uid="{00000000-0005-0000-0000-00000C220000}"/>
    <cellStyle name="Currency 14 2 2" xfId="18268" xr:uid="{79692374-88B1-4D81-80AE-D5392F9F927D}"/>
    <cellStyle name="Currency 14 3" xfId="8680" xr:uid="{00000000-0005-0000-0000-00000F220000}"/>
    <cellStyle name="Currency 14 3 2" xfId="8684" xr:uid="{00000000-0005-0000-0000-000013220000}"/>
    <cellStyle name="Currency 14 3 2 2" xfId="8687" xr:uid="{00000000-0005-0000-0000-000016220000}"/>
    <cellStyle name="Currency 14 3 2 2 2" xfId="8692" xr:uid="{00000000-0005-0000-0000-00001B220000}"/>
    <cellStyle name="Currency 14 3 2 2 2 2" xfId="8695" xr:uid="{00000000-0005-0000-0000-00001E220000}"/>
    <cellStyle name="Currency 14 3 2 2 2 2 2" xfId="8698" xr:uid="{00000000-0005-0000-0000-000021220000}"/>
    <cellStyle name="Currency 14 3 2 2 2 2 3" xfId="18285" xr:uid="{24717CAB-F7BA-4D84-9996-0F9D772D9BBC}"/>
    <cellStyle name="Currency 14 3 2 2 2 3" xfId="18282" xr:uid="{EC275DCC-402C-4069-8726-446112950F84}"/>
    <cellStyle name="Currency 14 3 2 2 3" xfId="18278" xr:uid="{AD30F609-342E-4487-A0B8-D4D7DAF0741A}"/>
    <cellStyle name="Currency 14 3 2 3" xfId="18275" xr:uid="{198FAA67-C5EA-47A9-A096-E324AB942DE1}"/>
    <cellStyle name="Currency 14 3 3" xfId="18271" xr:uid="{E85DBA9A-6E22-40A7-B35D-ACEA3459C954}"/>
    <cellStyle name="Currency 14 4" xfId="14053" xr:uid="{A3876269-931F-4350-9AFA-D76C67CA675B}"/>
    <cellStyle name="Currency 15" xfId="18273" xr:uid="{6C5B3553-B4F9-4D9D-9B51-15A936BD177B}"/>
    <cellStyle name="Currency 2" xfId="144" xr:uid="{00000000-0005-0000-0000-0000AB000000}"/>
    <cellStyle name="Currency 2 2" xfId="145" xr:uid="{00000000-0005-0000-0000-0000AC000000}"/>
    <cellStyle name="Currency 2 2 2" xfId="9757" xr:uid="{C3AE34B8-8FA2-4F84-9416-E3852E5DFAFD}"/>
    <cellStyle name="Currency 2 3" xfId="146" xr:uid="{00000000-0005-0000-0000-0000AD000000}"/>
    <cellStyle name="Currency 2 3 2" xfId="147" xr:uid="{00000000-0005-0000-0000-0000AE000000}"/>
    <cellStyle name="Currency 2 3 2 2" xfId="668" xr:uid="{00000000-0005-0000-0000-0000C3020000}"/>
    <cellStyle name="Currency 2 3 2 2 2" xfId="10261" xr:uid="{56233A71-E7E7-4F0F-BEB5-B73ACF52A0BB}"/>
    <cellStyle name="Currency 2 3 2 3" xfId="9759" xr:uid="{0EE1EFBA-E5B5-40EC-8760-0001C5436DE0}"/>
    <cellStyle name="Currency 2 3 3" xfId="148" xr:uid="{00000000-0005-0000-0000-0000AF000000}"/>
    <cellStyle name="Currency 2 3 3 2" xfId="9760" xr:uid="{D1A995D8-2BB0-4A3F-8CF5-628115C60B53}"/>
    <cellStyle name="Currency 2 3 4" xfId="9758" xr:uid="{34610F18-F43B-4576-BCC6-DB4872931537}"/>
    <cellStyle name="Currency 2 4" xfId="667" xr:uid="{00000000-0005-0000-0000-0000C2020000}"/>
    <cellStyle name="Currency 2 4 2" xfId="10260" xr:uid="{EEF7D171-8CFA-4DC9-B3E3-5B8B2557A28E}"/>
    <cellStyle name="Currency 2 5" xfId="9756" xr:uid="{D5AAAD03-D13B-4CC1-AB53-560D756C6FFD}"/>
    <cellStyle name="Currency 3" xfId="149" xr:uid="{00000000-0005-0000-0000-0000B0000000}"/>
    <cellStyle name="Currency 3 2" xfId="150" xr:uid="{00000000-0005-0000-0000-0000B1000000}"/>
    <cellStyle name="Currency 3 2 2" xfId="151" xr:uid="{00000000-0005-0000-0000-0000B2000000}"/>
    <cellStyle name="Currency 3 2 2 10" xfId="2753" xr:uid="{00000000-0005-0000-0000-0000E80A0000}"/>
    <cellStyle name="Currency 3 2 2 10 2" xfId="6976" xr:uid="{00000000-0005-0000-0000-0000671B0000}"/>
    <cellStyle name="Currency 3 2 2 10 2 2" xfId="16567" xr:uid="{59B6D9CD-1173-4232-A905-A4BF6EA80780}"/>
    <cellStyle name="Currency 3 2 2 10 3" xfId="12345" xr:uid="{D88FB484-B397-468E-B214-314D845472A2}"/>
    <cellStyle name="Currency 3 2 2 11" xfId="4593" xr:uid="{00000000-0005-0000-0000-000018120000}"/>
    <cellStyle name="Currency 3 2 2 11 2" xfId="14184" xr:uid="{A68AA5DB-5CD3-4462-BD7B-A68FA5EA246C}"/>
    <cellStyle name="Currency 3 2 2 12" xfId="8769" xr:uid="{00000000-0005-0000-0000-000068220000}"/>
    <cellStyle name="Currency 3 2 2 13" xfId="9763" xr:uid="{859CFE3C-5534-44D8-8761-F92E6587790C}"/>
    <cellStyle name="Currency 3 2 2 2" xfId="152" xr:uid="{00000000-0005-0000-0000-0000B3000000}"/>
    <cellStyle name="Currency 3 2 2 2 10" xfId="4594" xr:uid="{00000000-0005-0000-0000-000019120000}"/>
    <cellStyle name="Currency 3 2 2 2 10 2" xfId="14185" xr:uid="{D8881F8F-5C0C-492D-908C-B32815352EFD}"/>
    <cellStyle name="Currency 3 2 2 2 11" xfId="8872" xr:uid="{00000000-0005-0000-0000-0000CF220000}"/>
    <cellStyle name="Currency 3 2 2 2 12" xfId="9764" xr:uid="{2DDF09AD-7ABD-46B5-861D-57AF448EF42E}"/>
    <cellStyle name="Currency 3 2 2 2 2" xfId="153" xr:uid="{00000000-0005-0000-0000-0000B4000000}"/>
    <cellStyle name="Currency 3 2 2 2 2 10" xfId="9079" xr:uid="{00000000-0005-0000-0000-00009E230000}"/>
    <cellStyle name="Currency 3 2 2 2 2 11" xfId="9765" xr:uid="{4D6BEE92-818D-473C-B7C3-D38819B75166}"/>
    <cellStyle name="Currency 3 2 2 2 2 2" xfId="671" xr:uid="{00000000-0005-0000-0000-0000C6020000}"/>
    <cellStyle name="Currency 3 2 2 2 2 2 2" xfId="2932" xr:uid="{00000000-0005-0000-0000-00009B0B0000}"/>
    <cellStyle name="Currency 3 2 2 2 2 2 2 2" xfId="7154" xr:uid="{00000000-0005-0000-0000-0000191C0000}"/>
    <cellStyle name="Currency 3 2 2 2 2 2 2 2 2" xfId="16745" xr:uid="{F5F6465D-0BBA-491C-9D7F-CF225A5AFC60}"/>
    <cellStyle name="Currency 3 2 2 2 2 2 2 3" xfId="12524" xr:uid="{610FAF6E-2DD2-40DD-B05D-C10A6B09F61C}"/>
    <cellStyle name="Currency 3 2 2 2 2 2 3" xfId="5009" xr:uid="{00000000-0005-0000-0000-0000B8130000}"/>
    <cellStyle name="Currency 3 2 2 2 2 2 3 2" xfId="14600" xr:uid="{36A3C5A1-28E8-4723-A220-FB3D4D7E9A15}"/>
    <cellStyle name="Currency 3 2 2 2 2 2 4" xfId="9504" xr:uid="{00000000-0005-0000-0000-000047250000}"/>
    <cellStyle name="Currency 3 2 2 2 2 2 5" xfId="10264" xr:uid="{2DAC15EE-FD7D-4FA3-9C27-E54396613CC6}"/>
    <cellStyle name="Currency 3 2 2 2 2 3" xfId="1114" xr:uid="{00000000-0005-0000-0000-000081040000}"/>
    <cellStyle name="Currency 3 2 2 2 2 3 2" xfId="3345" xr:uid="{00000000-0005-0000-0000-0000380D0000}"/>
    <cellStyle name="Currency 3 2 2 2 2 3 2 2" xfId="7567" xr:uid="{00000000-0005-0000-0000-0000B61D0000}"/>
    <cellStyle name="Currency 3 2 2 2 2 3 2 2 2" xfId="17158" xr:uid="{E50253B6-A1A9-4A93-8031-282715E0CB44}"/>
    <cellStyle name="Currency 3 2 2 2 2 3 2 3" xfId="12937" xr:uid="{7D2F7782-CE37-4D51-B930-AA836F67C33C}"/>
    <cellStyle name="Currency 3 2 2 2 2 3 3" xfId="5422" xr:uid="{00000000-0005-0000-0000-000055150000}"/>
    <cellStyle name="Currency 3 2 2 2 2 3 3 2" xfId="15013" xr:uid="{A89CD70E-4E77-4EA8-B0AD-64706267EDC4}"/>
    <cellStyle name="Currency 3 2 2 2 2 3 4" xfId="10707" xr:uid="{2CD8C3DD-E3A5-41AE-B53E-E3A5C01C7402}"/>
    <cellStyle name="Currency 3 2 2 2 2 4" xfId="1528" xr:uid="{00000000-0005-0000-0000-00001F060000}"/>
    <cellStyle name="Currency 3 2 2 2 2 4 2" xfId="3758" xr:uid="{00000000-0005-0000-0000-0000D50E0000}"/>
    <cellStyle name="Currency 3 2 2 2 2 4 2 2" xfId="7980" xr:uid="{00000000-0005-0000-0000-0000531F0000}"/>
    <cellStyle name="Currency 3 2 2 2 2 4 2 2 2" xfId="17571" xr:uid="{3C050AF1-1866-4A9D-993B-4F3B36FEB456}"/>
    <cellStyle name="Currency 3 2 2 2 2 4 2 3" xfId="13350" xr:uid="{61F09DE2-9079-4F44-90CE-CC51600FAA41}"/>
    <cellStyle name="Currency 3 2 2 2 2 4 3" xfId="5835" xr:uid="{00000000-0005-0000-0000-0000F2160000}"/>
    <cellStyle name="Currency 3 2 2 2 2 4 3 2" xfId="15426" xr:uid="{34152BB8-1BEB-46C8-AABA-27ED65966C1B}"/>
    <cellStyle name="Currency 3 2 2 2 2 4 4" xfId="11121" xr:uid="{C62B0C48-699C-4A4F-A091-1CE7BBF26A63}"/>
    <cellStyle name="Currency 3 2 2 2 2 5" xfId="1942" xr:uid="{00000000-0005-0000-0000-0000BD070000}"/>
    <cellStyle name="Currency 3 2 2 2 2 5 2" xfId="4171" xr:uid="{00000000-0005-0000-0000-000072100000}"/>
    <cellStyle name="Currency 3 2 2 2 2 5 2 2" xfId="8393" xr:uid="{00000000-0005-0000-0000-0000F0200000}"/>
    <cellStyle name="Currency 3 2 2 2 2 5 2 2 2" xfId="17984" xr:uid="{A4354737-A668-4B1E-9AF6-588E3576772B}"/>
    <cellStyle name="Currency 3 2 2 2 2 5 2 3" xfId="13763" xr:uid="{868BDFD1-0785-4477-B3FC-5EB0F4082562}"/>
    <cellStyle name="Currency 3 2 2 2 2 5 3" xfId="6248" xr:uid="{00000000-0005-0000-0000-00008F180000}"/>
    <cellStyle name="Currency 3 2 2 2 2 5 3 2" xfId="15839" xr:uid="{CDA6EC00-77D9-4A74-98F2-2F65201CA1D1}"/>
    <cellStyle name="Currency 3 2 2 2 2 5 4" xfId="11534" xr:uid="{63BB994F-C970-4763-84A0-FD5F063A5805}"/>
    <cellStyle name="Currency 3 2 2 2 2 6" xfId="2377" xr:uid="{00000000-0005-0000-0000-000070090000}"/>
    <cellStyle name="Currency 3 2 2 2 2 6 2" xfId="6661" xr:uid="{00000000-0005-0000-0000-00002C1A0000}"/>
    <cellStyle name="Currency 3 2 2 2 2 6 2 2" xfId="16252" xr:uid="{B2C5C3AD-0D58-4577-BFB0-AF2C71787771}"/>
    <cellStyle name="Currency 3 2 2 2 2 6 3" xfId="11969" xr:uid="{AA5AFC19-F43E-4FD0-BA45-EB95F4B0CD27}"/>
    <cellStyle name="Currency 3 2 2 2 2 7" xfId="2674" xr:uid="{00000000-0005-0000-0000-0000990A0000}"/>
    <cellStyle name="Currency 3 2 2 2 2 7 2" xfId="12266" xr:uid="{F6957A92-2C01-4B58-9084-AA598B9E2542}"/>
    <cellStyle name="Currency 3 2 2 2 2 8" xfId="2755" xr:uid="{00000000-0005-0000-0000-0000EA0A0000}"/>
    <cellStyle name="Currency 3 2 2 2 2 8 2" xfId="6978" xr:uid="{00000000-0005-0000-0000-0000691B0000}"/>
    <cellStyle name="Currency 3 2 2 2 2 8 2 2" xfId="16569" xr:uid="{1B421FD6-49AB-4BB5-93A1-FC2F40BF5ED7}"/>
    <cellStyle name="Currency 3 2 2 2 2 8 3" xfId="12347" xr:uid="{74204113-B2EF-4BB8-8CB2-EC992B766CEC}"/>
    <cellStyle name="Currency 3 2 2 2 2 9" xfId="4595" xr:uid="{00000000-0005-0000-0000-00001A120000}"/>
    <cellStyle name="Currency 3 2 2 2 2 9 2" xfId="14186" xr:uid="{715FA735-BE71-4D33-A0F6-989642371333}"/>
    <cellStyle name="Currency 3 2 2 2 3" xfId="670" xr:uid="{00000000-0005-0000-0000-0000C5020000}"/>
    <cellStyle name="Currency 3 2 2 2 3 2" xfId="2931" xr:uid="{00000000-0005-0000-0000-00009A0B0000}"/>
    <cellStyle name="Currency 3 2 2 2 3 2 2" xfId="7153" xr:uid="{00000000-0005-0000-0000-0000181C0000}"/>
    <cellStyle name="Currency 3 2 2 2 3 2 2 2" xfId="16744" xr:uid="{0C5D00E5-653D-42EF-BB5C-D4FCB446ACEF}"/>
    <cellStyle name="Currency 3 2 2 2 3 2 3" xfId="12523" xr:uid="{172BA809-82D6-4ED9-8F2F-9DBFD1C560C1}"/>
    <cellStyle name="Currency 3 2 2 2 3 3" xfId="5008" xr:uid="{00000000-0005-0000-0000-0000B7130000}"/>
    <cellStyle name="Currency 3 2 2 2 3 3 2" xfId="14599" xr:uid="{CCFBE615-F94A-48FE-80C6-688A1347D02D}"/>
    <cellStyle name="Currency 3 2 2 2 3 4" xfId="9297" xr:uid="{00000000-0005-0000-0000-000078240000}"/>
    <cellStyle name="Currency 3 2 2 2 3 5" xfId="10263" xr:uid="{3EB6F8E0-1164-446C-AF07-4121EC27E117}"/>
    <cellStyle name="Currency 3 2 2 2 4" xfId="1113" xr:uid="{00000000-0005-0000-0000-000080040000}"/>
    <cellStyle name="Currency 3 2 2 2 4 2" xfId="3344" xr:uid="{00000000-0005-0000-0000-0000370D0000}"/>
    <cellStyle name="Currency 3 2 2 2 4 2 2" xfId="7566" xr:uid="{00000000-0005-0000-0000-0000B51D0000}"/>
    <cellStyle name="Currency 3 2 2 2 4 2 2 2" xfId="17157" xr:uid="{37EE1A96-3288-429D-A7A5-8CA12E1C93BD}"/>
    <cellStyle name="Currency 3 2 2 2 4 2 3" xfId="12936" xr:uid="{211668C9-905C-4563-85BB-D74F25BBA4A7}"/>
    <cellStyle name="Currency 3 2 2 2 4 3" xfId="5421" xr:uid="{00000000-0005-0000-0000-000054150000}"/>
    <cellStyle name="Currency 3 2 2 2 4 3 2" xfId="15012" xr:uid="{60353727-A357-4FD2-9913-4646F4537C29}"/>
    <cellStyle name="Currency 3 2 2 2 4 4" xfId="10706" xr:uid="{77A63AF1-AE00-4AE4-8C9E-21434864F7C0}"/>
    <cellStyle name="Currency 3 2 2 2 5" xfId="1527" xr:uid="{00000000-0005-0000-0000-00001E060000}"/>
    <cellStyle name="Currency 3 2 2 2 5 2" xfId="3757" xr:uid="{00000000-0005-0000-0000-0000D40E0000}"/>
    <cellStyle name="Currency 3 2 2 2 5 2 2" xfId="7979" xr:uid="{00000000-0005-0000-0000-0000521F0000}"/>
    <cellStyle name="Currency 3 2 2 2 5 2 2 2" xfId="17570" xr:uid="{C86B5B9A-EB4A-4FBE-834B-B01B0DCACACF}"/>
    <cellStyle name="Currency 3 2 2 2 5 2 3" xfId="13349" xr:uid="{9B881A82-4193-4038-8AE3-9226D456A5D9}"/>
    <cellStyle name="Currency 3 2 2 2 5 3" xfId="5834" xr:uid="{00000000-0005-0000-0000-0000F1160000}"/>
    <cellStyle name="Currency 3 2 2 2 5 3 2" xfId="15425" xr:uid="{9B150B12-BB5D-4052-A5A3-ED054155176C}"/>
    <cellStyle name="Currency 3 2 2 2 5 4" xfId="11120" xr:uid="{3D14E2D1-EBC1-40B1-850F-868E875F0EBE}"/>
    <cellStyle name="Currency 3 2 2 2 6" xfId="1941" xr:uid="{00000000-0005-0000-0000-0000BC070000}"/>
    <cellStyle name="Currency 3 2 2 2 6 2" xfId="4170" xr:uid="{00000000-0005-0000-0000-000071100000}"/>
    <cellStyle name="Currency 3 2 2 2 6 2 2" xfId="8392" xr:uid="{00000000-0005-0000-0000-0000EF200000}"/>
    <cellStyle name="Currency 3 2 2 2 6 2 2 2" xfId="17983" xr:uid="{26059287-B131-4D6E-99D2-6A05464C918B}"/>
    <cellStyle name="Currency 3 2 2 2 6 2 3" xfId="13762" xr:uid="{5DD1B1D4-C59B-4B8B-A8BD-5F921636DCE2}"/>
    <cellStyle name="Currency 3 2 2 2 6 3" xfId="6247" xr:uid="{00000000-0005-0000-0000-00008E180000}"/>
    <cellStyle name="Currency 3 2 2 2 6 3 2" xfId="15838" xr:uid="{5FDB9530-F2F7-411D-9EB4-FBDEAC7E1D94}"/>
    <cellStyle name="Currency 3 2 2 2 6 4" xfId="11533" xr:uid="{4C1054AB-DEDF-47DA-AE96-2D6FE2AAF70C}"/>
    <cellStyle name="Currency 3 2 2 2 7" xfId="2376" xr:uid="{00000000-0005-0000-0000-00006F090000}"/>
    <cellStyle name="Currency 3 2 2 2 7 2" xfId="6660" xr:uid="{00000000-0005-0000-0000-00002B1A0000}"/>
    <cellStyle name="Currency 3 2 2 2 7 2 2" xfId="16251" xr:uid="{CF5EB7DA-42A4-4BC7-BB83-5851CBCA282F}"/>
    <cellStyle name="Currency 3 2 2 2 7 3" xfId="11968" xr:uid="{3E7A6B10-F4E2-4DCD-BC20-D4B2E30EFF13}"/>
    <cellStyle name="Currency 3 2 2 2 8" xfId="2673" xr:uid="{00000000-0005-0000-0000-0000980A0000}"/>
    <cellStyle name="Currency 3 2 2 2 8 2" xfId="12265" xr:uid="{F86E8B98-F6ED-4A90-B8F2-1C70A7BCC758}"/>
    <cellStyle name="Currency 3 2 2 2 9" xfId="2754" xr:uid="{00000000-0005-0000-0000-0000E90A0000}"/>
    <cellStyle name="Currency 3 2 2 2 9 2" xfId="6977" xr:uid="{00000000-0005-0000-0000-0000681B0000}"/>
    <cellStyle name="Currency 3 2 2 2 9 2 2" xfId="16568" xr:uid="{16F53502-8783-4D14-B44B-EED0CEB4D092}"/>
    <cellStyle name="Currency 3 2 2 2 9 3" xfId="12346" xr:uid="{AC6454DD-F0C7-4A30-B9CE-4C865D9CA6C9}"/>
    <cellStyle name="Currency 3 2 2 3" xfId="154" xr:uid="{00000000-0005-0000-0000-0000B5000000}"/>
    <cellStyle name="Currency 3 2 2 3 10" xfId="8976" xr:uid="{00000000-0005-0000-0000-000037230000}"/>
    <cellStyle name="Currency 3 2 2 3 11" xfId="9766" xr:uid="{1EFEDCF6-0521-42A1-80AB-AB306492C0C3}"/>
    <cellStyle name="Currency 3 2 2 3 2" xfId="672" xr:uid="{00000000-0005-0000-0000-0000C7020000}"/>
    <cellStyle name="Currency 3 2 2 3 2 2" xfId="2933" xr:uid="{00000000-0005-0000-0000-00009C0B0000}"/>
    <cellStyle name="Currency 3 2 2 3 2 2 2" xfId="7155" xr:uid="{00000000-0005-0000-0000-00001A1C0000}"/>
    <cellStyle name="Currency 3 2 2 3 2 2 2 2" xfId="16746" xr:uid="{78003F05-40DF-4CC0-B423-B996DD77DBA5}"/>
    <cellStyle name="Currency 3 2 2 3 2 2 3" xfId="12525" xr:uid="{0E8348AE-373F-4A3C-9A1F-A95E668F683B}"/>
    <cellStyle name="Currency 3 2 2 3 2 3" xfId="5010" xr:uid="{00000000-0005-0000-0000-0000B9130000}"/>
    <cellStyle name="Currency 3 2 2 3 2 3 2" xfId="14601" xr:uid="{16964A26-D8E7-41F4-BC5F-C11CCB718E3F}"/>
    <cellStyle name="Currency 3 2 2 3 2 4" xfId="9401" xr:uid="{00000000-0005-0000-0000-0000E0240000}"/>
    <cellStyle name="Currency 3 2 2 3 2 5" xfId="10265" xr:uid="{DDEDE2ED-24DE-44B4-A411-E2559EEDCC95}"/>
    <cellStyle name="Currency 3 2 2 3 3" xfId="1115" xr:uid="{00000000-0005-0000-0000-000082040000}"/>
    <cellStyle name="Currency 3 2 2 3 3 2" xfId="3346" xr:uid="{00000000-0005-0000-0000-0000390D0000}"/>
    <cellStyle name="Currency 3 2 2 3 3 2 2" xfId="7568" xr:uid="{00000000-0005-0000-0000-0000B71D0000}"/>
    <cellStyle name="Currency 3 2 2 3 3 2 2 2" xfId="17159" xr:uid="{266C9431-3726-45B8-A729-2437935AE23B}"/>
    <cellStyle name="Currency 3 2 2 3 3 2 3" xfId="12938" xr:uid="{248243AF-A670-4CF3-987B-462942E38AAC}"/>
    <cellStyle name="Currency 3 2 2 3 3 3" xfId="5423" xr:uid="{00000000-0005-0000-0000-000056150000}"/>
    <cellStyle name="Currency 3 2 2 3 3 3 2" xfId="15014" xr:uid="{BC35EE86-691C-4809-886C-ABE596603FB1}"/>
    <cellStyle name="Currency 3 2 2 3 3 4" xfId="10708" xr:uid="{C8FE1B8D-0DB6-40A8-81B5-787298A22B04}"/>
    <cellStyle name="Currency 3 2 2 3 4" xfId="1529" xr:uid="{00000000-0005-0000-0000-000020060000}"/>
    <cellStyle name="Currency 3 2 2 3 4 2" xfId="3759" xr:uid="{00000000-0005-0000-0000-0000D60E0000}"/>
    <cellStyle name="Currency 3 2 2 3 4 2 2" xfId="7981" xr:uid="{00000000-0005-0000-0000-0000541F0000}"/>
    <cellStyle name="Currency 3 2 2 3 4 2 2 2" xfId="17572" xr:uid="{580D6F42-1FE7-499E-B188-6A0FE1284517}"/>
    <cellStyle name="Currency 3 2 2 3 4 2 3" xfId="13351" xr:uid="{B132662A-E116-43F1-BCC1-F8AD5AA07281}"/>
    <cellStyle name="Currency 3 2 2 3 4 3" xfId="5836" xr:uid="{00000000-0005-0000-0000-0000F3160000}"/>
    <cellStyle name="Currency 3 2 2 3 4 3 2" xfId="15427" xr:uid="{10C415F6-424D-4128-808E-0DBFE43E10F9}"/>
    <cellStyle name="Currency 3 2 2 3 4 4" xfId="11122" xr:uid="{FEDD65E8-28A0-4EA4-9982-EE38AF902A82}"/>
    <cellStyle name="Currency 3 2 2 3 5" xfId="1943" xr:uid="{00000000-0005-0000-0000-0000BE070000}"/>
    <cellStyle name="Currency 3 2 2 3 5 2" xfId="4172" xr:uid="{00000000-0005-0000-0000-000073100000}"/>
    <cellStyle name="Currency 3 2 2 3 5 2 2" xfId="8394" xr:uid="{00000000-0005-0000-0000-0000F1200000}"/>
    <cellStyle name="Currency 3 2 2 3 5 2 2 2" xfId="17985" xr:uid="{AB3A8BCD-15F8-479C-9CF6-16EA69DF7B30}"/>
    <cellStyle name="Currency 3 2 2 3 5 2 3" xfId="13764" xr:uid="{BEC2F02E-1A9A-4B44-BDB4-A2A21DC45725}"/>
    <cellStyle name="Currency 3 2 2 3 5 3" xfId="6249" xr:uid="{00000000-0005-0000-0000-000090180000}"/>
    <cellStyle name="Currency 3 2 2 3 5 3 2" xfId="15840" xr:uid="{78C48753-B621-4D0C-87E0-E229191B85F6}"/>
    <cellStyle name="Currency 3 2 2 3 5 4" xfId="11535" xr:uid="{D3F2A123-EB10-42CB-9107-CEB68556A365}"/>
    <cellStyle name="Currency 3 2 2 3 6" xfId="2378" xr:uid="{00000000-0005-0000-0000-000071090000}"/>
    <cellStyle name="Currency 3 2 2 3 6 2" xfId="6662" xr:uid="{00000000-0005-0000-0000-00002D1A0000}"/>
    <cellStyle name="Currency 3 2 2 3 6 2 2" xfId="16253" xr:uid="{134A4717-80EE-4B1C-8EDB-A24C6015278F}"/>
    <cellStyle name="Currency 3 2 2 3 6 3" xfId="11970" xr:uid="{DBFE4042-F500-447A-A6FA-2A759DE8DCDD}"/>
    <cellStyle name="Currency 3 2 2 3 7" xfId="2675" xr:uid="{00000000-0005-0000-0000-00009A0A0000}"/>
    <cellStyle name="Currency 3 2 2 3 7 2" xfId="12267" xr:uid="{3929818A-10DD-4DEA-AF24-21B90165832F}"/>
    <cellStyle name="Currency 3 2 2 3 8" xfId="2756" xr:uid="{00000000-0005-0000-0000-0000EB0A0000}"/>
    <cellStyle name="Currency 3 2 2 3 8 2" xfId="6979" xr:uid="{00000000-0005-0000-0000-00006A1B0000}"/>
    <cellStyle name="Currency 3 2 2 3 8 2 2" xfId="16570" xr:uid="{00AEB189-22E5-4382-B9C4-68E3FA4354BE}"/>
    <cellStyle name="Currency 3 2 2 3 8 3" xfId="12348" xr:uid="{F26B3135-869F-4740-AE4B-6254E3BF2348}"/>
    <cellStyle name="Currency 3 2 2 3 9" xfId="4596" xr:uid="{00000000-0005-0000-0000-00001B120000}"/>
    <cellStyle name="Currency 3 2 2 3 9 2" xfId="14187" xr:uid="{5F7B5C50-6509-425F-8969-988385DB7CA0}"/>
    <cellStyle name="Currency 3 2 2 4" xfId="669" xr:uid="{00000000-0005-0000-0000-0000C4020000}"/>
    <cellStyle name="Currency 3 2 2 4 2" xfId="2930" xr:uid="{00000000-0005-0000-0000-0000990B0000}"/>
    <cellStyle name="Currency 3 2 2 4 2 2" xfId="7152" xr:uid="{00000000-0005-0000-0000-0000171C0000}"/>
    <cellStyle name="Currency 3 2 2 4 2 2 2" xfId="16743" xr:uid="{E8F02385-3837-46B9-9BC4-2EAA7360B992}"/>
    <cellStyle name="Currency 3 2 2 4 2 3" xfId="12522" xr:uid="{0480A79B-34AA-4F79-A1F0-16C1FD68B490}"/>
    <cellStyle name="Currency 3 2 2 4 3" xfId="5007" xr:uid="{00000000-0005-0000-0000-0000B6130000}"/>
    <cellStyle name="Currency 3 2 2 4 3 2" xfId="14598" xr:uid="{847CC8BD-8F24-42BB-ACFA-C48AF5DBF20C}"/>
    <cellStyle name="Currency 3 2 2 4 4" xfId="9194" xr:uid="{00000000-0005-0000-0000-000011240000}"/>
    <cellStyle name="Currency 3 2 2 4 5" xfId="10262" xr:uid="{55820422-B821-4F41-89DE-F6AD80B23217}"/>
    <cellStyle name="Currency 3 2 2 5" xfId="1112" xr:uid="{00000000-0005-0000-0000-00007F040000}"/>
    <cellStyle name="Currency 3 2 2 5 2" xfId="3343" xr:uid="{00000000-0005-0000-0000-0000360D0000}"/>
    <cellStyle name="Currency 3 2 2 5 2 2" xfId="7565" xr:uid="{00000000-0005-0000-0000-0000B41D0000}"/>
    <cellStyle name="Currency 3 2 2 5 2 2 2" xfId="17156" xr:uid="{7CEF8E59-AC14-4169-A9CD-27FF1D0F5BD1}"/>
    <cellStyle name="Currency 3 2 2 5 2 3" xfId="12935" xr:uid="{5E04DBCA-3186-4303-97D9-CCED06821C2C}"/>
    <cellStyle name="Currency 3 2 2 5 3" xfId="5420" xr:uid="{00000000-0005-0000-0000-000053150000}"/>
    <cellStyle name="Currency 3 2 2 5 3 2" xfId="15011" xr:uid="{3ECC7694-18F0-4712-935D-FC830E12E124}"/>
    <cellStyle name="Currency 3 2 2 5 4" xfId="10705" xr:uid="{3B807B7A-6B7E-4D26-B0D1-F1C30D441D1D}"/>
    <cellStyle name="Currency 3 2 2 6" xfId="1526" xr:uid="{00000000-0005-0000-0000-00001D060000}"/>
    <cellStyle name="Currency 3 2 2 6 2" xfId="3756" xr:uid="{00000000-0005-0000-0000-0000D30E0000}"/>
    <cellStyle name="Currency 3 2 2 6 2 2" xfId="7978" xr:uid="{00000000-0005-0000-0000-0000511F0000}"/>
    <cellStyle name="Currency 3 2 2 6 2 2 2" xfId="17569" xr:uid="{1B37F401-564E-474F-81DC-E439D3E27E22}"/>
    <cellStyle name="Currency 3 2 2 6 2 3" xfId="13348" xr:uid="{AF362E32-8E6D-46C6-A834-EFDD1FE058C9}"/>
    <cellStyle name="Currency 3 2 2 6 3" xfId="5833" xr:uid="{00000000-0005-0000-0000-0000F0160000}"/>
    <cellStyle name="Currency 3 2 2 6 3 2" xfId="15424" xr:uid="{8C856BEB-C943-48A4-90D8-6E67CB452B99}"/>
    <cellStyle name="Currency 3 2 2 6 4" xfId="11119" xr:uid="{65F37CF5-C570-4F32-AE02-68423476D54D}"/>
    <cellStyle name="Currency 3 2 2 7" xfId="1940" xr:uid="{00000000-0005-0000-0000-0000BB070000}"/>
    <cellStyle name="Currency 3 2 2 7 2" xfId="4169" xr:uid="{00000000-0005-0000-0000-000070100000}"/>
    <cellStyle name="Currency 3 2 2 7 2 2" xfId="8391" xr:uid="{00000000-0005-0000-0000-0000EE200000}"/>
    <cellStyle name="Currency 3 2 2 7 2 2 2" xfId="17982" xr:uid="{6C261E1C-FE9E-4577-82E7-77954EFF86B8}"/>
    <cellStyle name="Currency 3 2 2 7 2 3" xfId="13761" xr:uid="{906AE9A6-3875-4EDF-9674-C210B31DC38F}"/>
    <cellStyle name="Currency 3 2 2 7 3" xfId="6246" xr:uid="{00000000-0005-0000-0000-00008D180000}"/>
    <cellStyle name="Currency 3 2 2 7 3 2" xfId="15837" xr:uid="{250E4DCE-E397-4B30-8B2A-5F0D90CF280F}"/>
    <cellStyle name="Currency 3 2 2 7 4" xfId="11532" xr:uid="{D64751A2-0A95-4454-B40E-1CBE13668424}"/>
    <cellStyle name="Currency 3 2 2 8" xfId="2375" xr:uid="{00000000-0005-0000-0000-00006E090000}"/>
    <cellStyle name="Currency 3 2 2 8 2" xfId="6659" xr:uid="{00000000-0005-0000-0000-00002A1A0000}"/>
    <cellStyle name="Currency 3 2 2 8 2 2" xfId="16250" xr:uid="{8BA92ECB-2531-4D10-9228-26779F85C801}"/>
    <cellStyle name="Currency 3 2 2 8 3" xfId="11967" xr:uid="{6EB17CD4-2B9C-4CB8-B3E6-5F3507D144A9}"/>
    <cellStyle name="Currency 3 2 2 9" xfId="2672" xr:uid="{00000000-0005-0000-0000-0000970A0000}"/>
    <cellStyle name="Currency 3 2 2 9 2" xfId="12264" xr:uid="{6CA57490-92B9-4A74-A9C6-9EF5038FDDFA}"/>
    <cellStyle name="Currency 3 2 3" xfId="155" xr:uid="{00000000-0005-0000-0000-0000B6000000}"/>
    <cellStyle name="Currency 3 2 3 10" xfId="4597" xr:uid="{00000000-0005-0000-0000-00001C120000}"/>
    <cellStyle name="Currency 3 2 3 10 2" xfId="14188" xr:uid="{B395772D-1F51-49AD-8873-6EAA5AA2801B}"/>
    <cellStyle name="Currency 3 2 3 11" xfId="8854" xr:uid="{00000000-0005-0000-0000-0000BD220000}"/>
    <cellStyle name="Currency 3 2 3 12" xfId="9767" xr:uid="{91AB42E9-08D3-4E5A-A5B8-497AAC455E6E}"/>
    <cellStyle name="Currency 3 2 3 2" xfId="156" xr:uid="{00000000-0005-0000-0000-0000B7000000}"/>
    <cellStyle name="Currency 3 2 3 2 10" xfId="9061" xr:uid="{00000000-0005-0000-0000-00008C230000}"/>
    <cellStyle name="Currency 3 2 3 2 11" xfId="9768" xr:uid="{CBE2119D-AB5A-426C-87A4-2D553F31D7ED}"/>
    <cellStyle name="Currency 3 2 3 2 2" xfId="674" xr:uid="{00000000-0005-0000-0000-0000C9020000}"/>
    <cellStyle name="Currency 3 2 3 2 2 2" xfId="2935" xr:uid="{00000000-0005-0000-0000-00009E0B0000}"/>
    <cellStyle name="Currency 3 2 3 2 2 2 2" xfId="7157" xr:uid="{00000000-0005-0000-0000-00001C1C0000}"/>
    <cellStyle name="Currency 3 2 3 2 2 2 2 2" xfId="16748" xr:uid="{D35FFE40-4030-438A-8A0C-BBCA66E0FB71}"/>
    <cellStyle name="Currency 3 2 3 2 2 2 3" xfId="12527" xr:uid="{24C17127-EB12-4BAA-98AA-09C0A41AD195}"/>
    <cellStyle name="Currency 3 2 3 2 2 3" xfId="5012" xr:uid="{00000000-0005-0000-0000-0000BB130000}"/>
    <cellStyle name="Currency 3 2 3 2 2 3 2" xfId="14603" xr:uid="{9334260E-4CFD-4757-A687-B2AB486DCF22}"/>
    <cellStyle name="Currency 3 2 3 2 2 4" xfId="9486" xr:uid="{00000000-0005-0000-0000-000035250000}"/>
    <cellStyle name="Currency 3 2 3 2 2 5" xfId="10267" xr:uid="{BBF255ED-87FB-481E-8126-9F733DD25425}"/>
    <cellStyle name="Currency 3 2 3 2 3" xfId="1117" xr:uid="{00000000-0005-0000-0000-000084040000}"/>
    <cellStyle name="Currency 3 2 3 2 3 2" xfId="3348" xr:uid="{00000000-0005-0000-0000-00003B0D0000}"/>
    <cellStyle name="Currency 3 2 3 2 3 2 2" xfId="7570" xr:uid="{00000000-0005-0000-0000-0000B91D0000}"/>
    <cellStyle name="Currency 3 2 3 2 3 2 2 2" xfId="17161" xr:uid="{AEF93939-8301-4251-ACDE-75A0CAD802E0}"/>
    <cellStyle name="Currency 3 2 3 2 3 2 3" xfId="12940" xr:uid="{A7628B96-694C-4FD5-851D-CB6EA94B4EF1}"/>
    <cellStyle name="Currency 3 2 3 2 3 3" xfId="5425" xr:uid="{00000000-0005-0000-0000-000058150000}"/>
    <cellStyle name="Currency 3 2 3 2 3 3 2" xfId="15016" xr:uid="{2615646A-CDE8-4EC3-8300-F085D841FFE1}"/>
    <cellStyle name="Currency 3 2 3 2 3 4" xfId="10710" xr:uid="{1E4F1078-BD39-48A5-9A6F-FD6F0E77EDB6}"/>
    <cellStyle name="Currency 3 2 3 2 4" xfId="1531" xr:uid="{00000000-0005-0000-0000-000022060000}"/>
    <cellStyle name="Currency 3 2 3 2 4 2" xfId="3761" xr:uid="{00000000-0005-0000-0000-0000D80E0000}"/>
    <cellStyle name="Currency 3 2 3 2 4 2 2" xfId="7983" xr:uid="{00000000-0005-0000-0000-0000561F0000}"/>
    <cellStyle name="Currency 3 2 3 2 4 2 2 2" xfId="17574" xr:uid="{6E0E2C8E-3BE5-4E39-A3F5-E89838F4E432}"/>
    <cellStyle name="Currency 3 2 3 2 4 2 3" xfId="13353" xr:uid="{71D61739-6ECE-494D-ACB3-2E0092AD4F6A}"/>
    <cellStyle name="Currency 3 2 3 2 4 3" xfId="5838" xr:uid="{00000000-0005-0000-0000-0000F5160000}"/>
    <cellStyle name="Currency 3 2 3 2 4 3 2" xfId="15429" xr:uid="{B2197D80-A982-4DD6-8890-9B7196BD84F1}"/>
    <cellStyle name="Currency 3 2 3 2 4 4" xfId="11124" xr:uid="{045EB9ED-09CD-4F34-BBD3-35FC9B116B9F}"/>
    <cellStyle name="Currency 3 2 3 2 5" xfId="1945" xr:uid="{00000000-0005-0000-0000-0000C0070000}"/>
    <cellStyle name="Currency 3 2 3 2 5 2" xfId="4174" xr:uid="{00000000-0005-0000-0000-000075100000}"/>
    <cellStyle name="Currency 3 2 3 2 5 2 2" xfId="8396" xr:uid="{00000000-0005-0000-0000-0000F3200000}"/>
    <cellStyle name="Currency 3 2 3 2 5 2 2 2" xfId="17987" xr:uid="{41E3031F-9B02-4F32-A3EF-8A3723AF395F}"/>
    <cellStyle name="Currency 3 2 3 2 5 2 3" xfId="13766" xr:uid="{F1078B10-0D43-4F9D-A467-346ECD82284E}"/>
    <cellStyle name="Currency 3 2 3 2 5 3" xfId="6251" xr:uid="{00000000-0005-0000-0000-000092180000}"/>
    <cellStyle name="Currency 3 2 3 2 5 3 2" xfId="15842" xr:uid="{DEDB3136-B5FB-4B2D-ABB9-C9F09F75C6F3}"/>
    <cellStyle name="Currency 3 2 3 2 5 4" xfId="11537" xr:uid="{6EB14E60-8194-4673-803D-103AD2A3FA75}"/>
    <cellStyle name="Currency 3 2 3 2 6" xfId="2380" xr:uid="{00000000-0005-0000-0000-000073090000}"/>
    <cellStyle name="Currency 3 2 3 2 6 2" xfId="6664" xr:uid="{00000000-0005-0000-0000-00002F1A0000}"/>
    <cellStyle name="Currency 3 2 3 2 6 2 2" xfId="16255" xr:uid="{F1B69613-0931-4BAB-A9C3-218A4B833630}"/>
    <cellStyle name="Currency 3 2 3 2 6 3" xfId="11972" xr:uid="{95EACF4A-39DE-499D-A9F7-A8AFFFADEBC7}"/>
    <cellStyle name="Currency 3 2 3 2 7" xfId="2677" xr:uid="{00000000-0005-0000-0000-00009C0A0000}"/>
    <cellStyle name="Currency 3 2 3 2 7 2" xfId="12269" xr:uid="{153AD018-7381-412E-B42E-56E37022F7BA}"/>
    <cellStyle name="Currency 3 2 3 2 8" xfId="2758" xr:uid="{00000000-0005-0000-0000-0000ED0A0000}"/>
    <cellStyle name="Currency 3 2 3 2 8 2" xfId="6981" xr:uid="{00000000-0005-0000-0000-00006C1B0000}"/>
    <cellStyle name="Currency 3 2 3 2 8 2 2" xfId="16572" xr:uid="{CF7FD6E9-FEE9-4204-99A3-5B9524FA2660}"/>
    <cellStyle name="Currency 3 2 3 2 8 3" xfId="12350" xr:uid="{AC644B30-12F1-4705-873F-BD280BA8A96D}"/>
    <cellStyle name="Currency 3 2 3 2 9" xfId="4598" xr:uid="{00000000-0005-0000-0000-00001D120000}"/>
    <cellStyle name="Currency 3 2 3 2 9 2" xfId="14189" xr:uid="{6C9449CD-3537-4D49-BB18-02AE0906B538}"/>
    <cellStyle name="Currency 3 2 3 3" xfId="673" xr:uid="{00000000-0005-0000-0000-0000C8020000}"/>
    <cellStyle name="Currency 3 2 3 3 2" xfId="2934" xr:uid="{00000000-0005-0000-0000-00009D0B0000}"/>
    <cellStyle name="Currency 3 2 3 3 2 2" xfId="7156" xr:uid="{00000000-0005-0000-0000-00001B1C0000}"/>
    <cellStyle name="Currency 3 2 3 3 2 2 2" xfId="16747" xr:uid="{8F07DDDE-3078-44E0-A88C-F0B67E39916B}"/>
    <cellStyle name="Currency 3 2 3 3 2 3" xfId="12526" xr:uid="{AC606825-880A-4245-94D2-7DC5ED754606}"/>
    <cellStyle name="Currency 3 2 3 3 3" xfId="5011" xr:uid="{00000000-0005-0000-0000-0000BA130000}"/>
    <cellStyle name="Currency 3 2 3 3 3 2" xfId="14602" xr:uid="{0AD78AAC-6E1F-4D5B-8060-69C3C058CDCD}"/>
    <cellStyle name="Currency 3 2 3 3 4" xfId="9279" xr:uid="{00000000-0005-0000-0000-000066240000}"/>
    <cellStyle name="Currency 3 2 3 3 5" xfId="10266" xr:uid="{7EC1A120-597C-45F8-8FDA-C2B9A82EF6E6}"/>
    <cellStyle name="Currency 3 2 3 4" xfId="1116" xr:uid="{00000000-0005-0000-0000-000083040000}"/>
    <cellStyle name="Currency 3 2 3 4 2" xfId="3347" xr:uid="{00000000-0005-0000-0000-00003A0D0000}"/>
    <cellStyle name="Currency 3 2 3 4 2 2" xfId="7569" xr:uid="{00000000-0005-0000-0000-0000B81D0000}"/>
    <cellStyle name="Currency 3 2 3 4 2 2 2" xfId="17160" xr:uid="{A3CDB8A3-F7E9-4259-905D-5BE5ED792FF5}"/>
    <cellStyle name="Currency 3 2 3 4 2 3" xfId="12939" xr:uid="{B648741F-908E-4550-B345-9E4110EB685B}"/>
    <cellStyle name="Currency 3 2 3 4 3" xfId="5424" xr:uid="{00000000-0005-0000-0000-000057150000}"/>
    <cellStyle name="Currency 3 2 3 4 3 2" xfId="15015" xr:uid="{599261D5-2596-4696-B019-FE333D8CCFE3}"/>
    <cellStyle name="Currency 3 2 3 4 4" xfId="10709" xr:uid="{F803550F-3704-4E88-9C3B-EC508B9986C6}"/>
    <cellStyle name="Currency 3 2 3 5" xfId="1530" xr:uid="{00000000-0005-0000-0000-000021060000}"/>
    <cellStyle name="Currency 3 2 3 5 2" xfId="3760" xr:uid="{00000000-0005-0000-0000-0000D70E0000}"/>
    <cellStyle name="Currency 3 2 3 5 2 2" xfId="7982" xr:uid="{00000000-0005-0000-0000-0000551F0000}"/>
    <cellStyle name="Currency 3 2 3 5 2 2 2" xfId="17573" xr:uid="{3E970535-E03E-4001-8BEF-90B031EE1A43}"/>
    <cellStyle name="Currency 3 2 3 5 2 3" xfId="13352" xr:uid="{A827723D-24D2-4A74-9B7B-5AEB977D05B0}"/>
    <cellStyle name="Currency 3 2 3 5 3" xfId="5837" xr:uid="{00000000-0005-0000-0000-0000F4160000}"/>
    <cellStyle name="Currency 3 2 3 5 3 2" xfId="15428" xr:uid="{F00274F0-6DDA-4FAF-9C4B-6FDE5936D8E7}"/>
    <cellStyle name="Currency 3 2 3 5 4" xfId="11123" xr:uid="{7BF03C04-125E-4229-ACC7-A5A7C268F297}"/>
    <cellStyle name="Currency 3 2 3 6" xfId="1944" xr:uid="{00000000-0005-0000-0000-0000BF070000}"/>
    <cellStyle name="Currency 3 2 3 6 2" xfId="4173" xr:uid="{00000000-0005-0000-0000-000074100000}"/>
    <cellStyle name="Currency 3 2 3 6 2 2" xfId="8395" xr:uid="{00000000-0005-0000-0000-0000F2200000}"/>
    <cellStyle name="Currency 3 2 3 6 2 2 2" xfId="17986" xr:uid="{53114022-FED4-4C60-AA41-FCB011E9EA86}"/>
    <cellStyle name="Currency 3 2 3 6 2 3" xfId="13765" xr:uid="{91C7F23B-1D3B-4ECB-9777-847F0FB0FF13}"/>
    <cellStyle name="Currency 3 2 3 6 3" xfId="6250" xr:uid="{00000000-0005-0000-0000-000091180000}"/>
    <cellStyle name="Currency 3 2 3 6 3 2" xfId="15841" xr:uid="{F97B73C9-EF03-4BE8-8428-91FDC83B6065}"/>
    <cellStyle name="Currency 3 2 3 6 4" xfId="11536" xr:uid="{4EAD20C7-A539-4ADC-9CFF-9C786B9729AC}"/>
    <cellStyle name="Currency 3 2 3 7" xfId="2379" xr:uid="{00000000-0005-0000-0000-000072090000}"/>
    <cellStyle name="Currency 3 2 3 7 2" xfId="6663" xr:uid="{00000000-0005-0000-0000-00002E1A0000}"/>
    <cellStyle name="Currency 3 2 3 7 2 2" xfId="16254" xr:uid="{6734CF02-37A1-45F6-A609-D98D5F392FBE}"/>
    <cellStyle name="Currency 3 2 3 7 3" xfId="11971" xr:uid="{963B619D-D30F-4DD1-8463-E7277D49CC0E}"/>
    <cellStyle name="Currency 3 2 3 8" xfId="2676" xr:uid="{00000000-0005-0000-0000-00009B0A0000}"/>
    <cellStyle name="Currency 3 2 3 8 2" xfId="12268" xr:uid="{DD6A3571-73A0-4CB2-84BB-E132FB6B52D5}"/>
    <cellStyle name="Currency 3 2 3 9" xfId="2757" xr:uid="{00000000-0005-0000-0000-0000EC0A0000}"/>
    <cellStyle name="Currency 3 2 3 9 2" xfId="6980" xr:uid="{00000000-0005-0000-0000-00006B1B0000}"/>
    <cellStyle name="Currency 3 2 3 9 2 2" xfId="16571" xr:uid="{0DCC8749-F4F8-4659-B870-959F7E389EF3}"/>
    <cellStyle name="Currency 3 2 3 9 3" xfId="12349" xr:uid="{34B2FE4A-6159-4DD3-8AE4-12E686CE58EB}"/>
    <cellStyle name="Currency 3 2 4" xfId="157" xr:uid="{00000000-0005-0000-0000-0000B8000000}"/>
    <cellStyle name="Currency 3 2 4 10" xfId="8958" xr:uid="{00000000-0005-0000-0000-000025230000}"/>
    <cellStyle name="Currency 3 2 4 11" xfId="9769" xr:uid="{51E41C49-BDBC-410C-8CE4-0ECEF18D7F70}"/>
    <cellStyle name="Currency 3 2 4 2" xfId="675" xr:uid="{00000000-0005-0000-0000-0000CA020000}"/>
    <cellStyle name="Currency 3 2 4 2 2" xfId="2936" xr:uid="{00000000-0005-0000-0000-00009F0B0000}"/>
    <cellStyle name="Currency 3 2 4 2 2 2" xfId="7158" xr:uid="{00000000-0005-0000-0000-00001D1C0000}"/>
    <cellStyle name="Currency 3 2 4 2 2 2 2" xfId="16749" xr:uid="{9D503B14-7E67-43D5-859D-B07DB0578A36}"/>
    <cellStyle name="Currency 3 2 4 2 2 3" xfId="12528" xr:uid="{2F2A9B9A-572F-4B67-B3C1-CFCB1D9BD778}"/>
    <cellStyle name="Currency 3 2 4 2 3" xfId="5013" xr:uid="{00000000-0005-0000-0000-0000BC130000}"/>
    <cellStyle name="Currency 3 2 4 2 3 2" xfId="14604" xr:uid="{EF2A59A5-61D4-4314-9A97-CB5595E6F7AE}"/>
    <cellStyle name="Currency 3 2 4 2 4" xfId="9383" xr:uid="{00000000-0005-0000-0000-0000CE240000}"/>
    <cellStyle name="Currency 3 2 4 2 5" xfId="10268" xr:uid="{E5FE9295-7FBD-4676-93A1-46BBBE9A81CE}"/>
    <cellStyle name="Currency 3 2 4 3" xfId="1118" xr:uid="{00000000-0005-0000-0000-000085040000}"/>
    <cellStyle name="Currency 3 2 4 3 2" xfId="3349" xr:uid="{00000000-0005-0000-0000-00003C0D0000}"/>
    <cellStyle name="Currency 3 2 4 3 2 2" xfId="7571" xr:uid="{00000000-0005-0000-0000-0000BA1D0000}"/>
    <cellStyle name="Currency 3 2 4 3 2 2 2" xfId="17162" xr:uid="{2E0EAB12-A922-438F-81B2-C52D35265AF0}"/>
    <cellStyle name="Currency 3 2 4 3 2 3" xfId="12941" xr:uid="{A988D987-E68C-44E7-8CEB-56C4065B0223}"/>
    <cellStyle name="Currency 3 2 4 3 3" xfId="5426" xr:uid="{00000000-0005-0000-0000-000059150000}"/>
    <cellStyle name="Currency 3 2 4 3 3 2" xfId="15017" xr:uid="{964D821F-3FE1-4BEC-92A7-941986CBF53F}"/>
    <cellStyle name="Currency 3 2 4 3 4" xfId="10711" xr:uid="{49ECAC96-C038-4FFE-AC37-0B6D523756BC}"/>
    <cellStyle name="Currency 3 2 4 4" xfId="1532" xr:uid="{00000000-0005-0000-0000-000023060000}"/>
    <cellStyle name="Currency 3 2 4 4 2" xfId="3762" xr:uid="{00000000-0005-0000-0000-0000D90E0000}"/>
    <cellStyle name="Currency 3 2 4 4 2 2" xfId="7984" xr:uid="{00000000-0005-0000-0000-0000571F0000}"/>
    <cellStyle name="Currency 3 2 4 4 2 2 2" xfId="17575" xr:uid="{F248CF0C-13B6-4D8C-A8DA-8BE04AD535BA}"/>
    <cellStyle name="Currency 3 2 4 4 2 3" xfId="13354" xr:uid="{9AFF2C4F-EFD2-4DBE-908E-573FD86BFAA3}"/>
    <cellStyle name="Currency 3 2 4 4 3" xfId="5839" xr:uid="{00000000-0005-0000-0000-0000F6160000}"/>
    <cellStyle name="Currency 3 2 4 4 3 2" xfId="15430" xr:uid="{2FDC4F39-5032-4CB1-BF4A-13315984BBC6}"/>
    <cellStyle name="Currency 3 2 4 4 4" xfId="11125" xr:uid="{3246DF2D-C12C-4D1C-9F9B-6EC33155F092}"/>
    <cellStyle name="Currency 3 2 4 5" xfId="1946" xr:uid="{00000000-0005-0000-0000-0000C1070000}"/>
    <cellStyle name="Currency 3 2 4 5 2" xfId="4175" xr:uid="{00000000-0005-0000-0000-000076100000}"/>
    <cellStyle name="Currency 3 2 4 5 2 2" xfId="8397" xr:uid="{00000000-0005-0000-0000-0000F4200000}"/>
    <cellStyle name="Currency 3 2 4 5 2 2 2" xfId="17988" xr:uid="{C381591D-1C14-401F-9B9D-ACD3D62317E2}"/>
    <cellStyle name="Currency 3 2 4 5 2 3" xfId="13767" xr:uid="{D50A1C1E-7DA9-4F65-B217-1DDAE32D6D65}"/>
    <cellStyle name="Currency 3 2 4 5 3" xfId="6252" xr:uid="{00000000-0005-0000-0000-000093180000}"/>
    <cellStyle name="Currency 3 2 4 5 3 2" xfId="15843" xr:uid="{2A4B130B-462A-4417-8645-BD147FA67907}"/>
    <cellStyle name="Currency 3 2 4 5 4" xfId="11538" xr:uid="{3C7D6A5C-B87E-4CDA-9014-6AE4BB9A0F18}"/>
    <cellStyle name="Currency 3 2 4 6" xfId="2381" xr:uid="{00000000-0005-0000-0000-000074090000}"/>
    <cellStyle name="Currency 3 2 4 6 2" xfId="6665" xr:uid="{00000000-0005-0000-0000-0000301A0000}"/>
    <cellStyle name="Currency 3 2 4 6 2 2" xfId="16256" xr:uid="{5B90411F-98B1-4514-94A8-A29F29234063}"/>
    <cellStyle name="Currency 3 2 4 6 3" xfId="11973" xr:uid="{173D39B6-F6AD-4DF2-BE49-83AF4A3E0169}"/>
    <cellStyle name="Currency 3 2 4 7" xfId="2678" xr:uid="{00000000-0005-0000-0000-00009D0A0000}"/>
    <cellStyle name="Currency 3 2 4 7 2" xfId="12270" xr:uid="{341DC327-2B38-4F33-B6D4-B4C76369CE83}"/>
    <cellStyle name="Currency 3 2 4 8" xfId="2759" xr:uid="{00000000-0005-0000-0000-0000EE0A0000}"/>
    <cellStyle name="Currency 3 2 4 8 2" xfId="6982" xr:uid="{00000000-0005-0000-0000-00006D1B0000}"/>
    <cellStyle name="Currency 3 2 4 8 2 2" xfId="16573" xr:uid="{608D6C3D-E6F7-4254-9100-5E714B078BFD}"/>
    <cellStyle name="Currency 3 2 4 8 3" xfId="12351" xr:uid="{AF3B1000-3995-4703-A40A-FB25A409C64C}"/>
    <cellStyle name="Currency 3 2 4 9" xfId="4599" xr:uid="{00000000-0005-0000-0000-00001E120000}"/>
    <cellStyle name="Currency 3 2 4 9 2" xfId="14190" xr:uid="{45C1A915-5204-485D-A991-92BDAEEB37D1}"/>
    <cellStyle name="Currency 3 2 5" xfId="158" xr:uid="{00000000-0005-0000-0000-0000B9000000}"/>
    <cellStyle name="Currency 3 2 5 10" xfId="9175" xr:uid="{00000000-0005-0000-0000-0000FE230000}"/>
    <cellStyle name="Currency 3 2 5 11" xfId="9770" xr:uid="{3C33BE60-689A-4DB0-BA01-15F5C1B5693F}"/>
    <cellStyle name="Currency 3 2 5 2" xfId="676" xr:uid="{00000000-0005-0000-0000-0000CB020000}"/>
    <cellStyle name="Currency 3 2 5 2 2" xfId="2937" xr:uid="{00000000-0005-0000-0000-0000A00B0000}"/>
    <cellStyle name="Currency 3 2 5 2 2 2" xfId="7159" xr:uid="{00000000-0005-0000-0000-00001E1C0000}"/>
    <cellStyle name="Currency 3 2 5 2 2 2 2" xfId="16750" xr:uid="{9649F937-AC48-4723-BC15-8B5F23A7ED77}"/>
    <cellStyle name="Currency 3 2 5 2 2 3" xfId="12529" xr:uid="{F73CFD5B-9212-4164-9C5B-9C5337A35987}"/>
    <cellStyle name="Currency 3 2 5 2 3" xfId="5014" xr:uid="{00000000-0005-0000-0000-0000BD130000}"/>
    <cellStyle name="Currency 3 2 5 2 3 2" xfId="14605" xr:uid="{8D85CB41-553D-4A70-A7B7-19480C256208}"/>
    <cellStyle name="Currency 3 2 5 2 4" xfId="9558" xr:uid="{00000000-0005-0000-0000-00007D250000}"/>
    <cellStyle name="Currency 3 2 5 2 5" xfId="10269" xr:uid="{CE199CA2-B753-44BA-B766-6E8B18215CEA}"/>
    <cellStyle name="Currency 3 2 5 3" xfId="1119" xr:uid="{00000000-0005-0000-0000-000086040000}"/>
    <cellStyle name="Currency 3 2 5 3 2" xfId="3350" xr:uid="{00000000-0005-0000-0000-00003D0D0000}"/>
    <cellStyle name="Currency 3 2 5 3 2 2" xfId="7572" xr:uid="{00000000-0005-0000-0000-0000BB1D0000}"/>
    <cellStyle name="Currency 3 2 5 3 2 2 2" xfId="17163" xr:uid="{08D5F869-8125-4CC8-9B70-5BD1861CA1DB}"/>
    <cellStyle name="Currency 3 2 5 3 2 3" xfId="12942" xr:uid="{6F05BB3A-D56F-42F3-A2E2-2290214B981D}"/>
    <cellStyle name="Currency 3 2 5 3 3" xfId="5427" xr:uid="{00000000-0005-0000-0000-00005A150000}"/>
    <cellStyle name="Currency 3 2 5 3 3 2" xfId="15018" xr:uid="{38AAFB43-6395-4149-ACC5-479A68B79EC1}"/>
    <cellStyle name="Currency 3 2 5 3 4" xfId="10712" xr:uid="{0F5ADCD1-1115-4AA0-BC7C-EFC96882B6CE}"/>
    <cellStyle name="Currency 3 2 5 4" xfId="1533" xr:uid="{00000000-0005-0000-0000-000024060000}"/>
    <cellStyle name="Currency 3 2 5 4 2" xfId="3763" xr:uid="{00000000-0005-0000-0000-0000DA0E0000}"/>
    <cellStyle name="Currency 3 2 5 4 2 2" xfId="7985" xr:uid="{00000000-0005-0000-0000-0000581F0000}"/>
    <cellStyle name="Currency 3 2 5 4 2 2 2" xfId="17576" xr:uid="{56267572-C790-44E6-9646-CFE4CD3E9A95}"/>
    <cellStyle name="Currency 3 2 5 4 2 3" xfId="13355" xr:uid="{560EEC17-7AA3-4BE5-8331-19EEA341AC97}"/>
    <cellStyle name="Currency 3 2 5 4 3" xfId="5840" xr:uid="{00000000-0005-0000-0000-0000F7160000}"/>
    <cellStyle name="Currency 3 2 5 4 3 2" xfId="15431" xr:uid="{A9A58457-A6DA-4162-94CA-0FB1500BDE2C}"/>
    <cellStyle name="Currency 3 2 5 4 4" xfId="11126" xr:uid="{73521EE4-F559-4E55-9C5F-9E2BBE65E02D}"/>
    <cellStyle name="Currency 3 2 5 5" xfId="1947" xr:uid="{00000000-0005-0000-0000-0000C2070000}"/>
    <cellStyle name="Currency 3 2 5 5 2" xfId="4176" xr:uid="{00000000-0005-0000-0000-000077100000}"/>
    <cellStyle name="Currency 3 2 5 5 2 2" xfId="8398" xr:uid="{00000000-0005-0000-0000-0000F5200000}"/>
    <cellStyle name="Currency 3 2 5 5 2 2 2" xfId="17989" xr:uid="{5153C77A-1166-409C-8731-7B83AD51BE6E}"/>
    <cellStyle name="Currency 3 2 5 5 2 3" xfId="13768" xr:uid="{13EFDFB1-72DD-4A59-B77F-3DEA35C910AD}"/>
    <cellStyle name="Currency 3 2 5 5 3" xfId="6253" xr:uid="{00000000-0005-0000-0000-000094180000}"/>
    <cellStyle name="Currency 3 2 5 5 3 2" xfId="15844" xr:uid="{2847D8D8-BB0D-4711-864C-F22CEFA9F7DA}"/>
    <cellStyle name="Currency 3 2 5 5 4" xfId="11539" xr:uid="{A835768F-9A27-4BFF-B986-EBEF287F2851}"/>
    <cellStyle name="Currency 3 2 5 6" xfId="2382" xr:uid="{00000000-0005-0000-0000-000075090000}"/>
    <cellStyle name="Currency 3 2 5 6 2" xfId="6666" xr:uid="{00000000-0005-0000-0000-0000311A0000}"/>
    <cellStyle name="Currency 3 2 5 6 2 2" xfId="16257" xr:uid="{EE961A4D-F044-4E53-AF66-0CDCC3B8C898}"/>
    <cellStyle name="Currency 3 2 5 6 3" xfId="11974" xr:uid="{65982757-6758-4DB6-8926-32F2ABB88A95}"/>
    <cellStyle name="Currency 3 2 5 7" xfId="2679" xr:uid="{00000000-0005-0000-0000-00009E0A0000}"/>
    <cellStyle name="Currency 3 2 5 7 2" xfId="12271" xr:uid="{2FDFAA1C-FA52-49C8-8743-F72067207EAD}"/>
    <cellStyle name="Currency 3 2 5 8" xfId="2760" xr:uid="{00000000-0005-0000-0000-0000EF0A0000}"/>
    <cellStyle name="Currency 3 2 5 8 2" xfId="6983" xr:uid="{00000000-0005-0000-0000-00006E1B0000}"/>
    <cellStyle name="Currency 3 2 5 8 2 2" xfId="16574" xr:uid="{A76F9145-CD95-4BFF-816D-8B27532C862F}"/>
    <cellStyle name="Currency 3 2 5 8 3" xfId="12352" xr:uid="{E7D5DD3B-85BD-4CDB-9B55-E0E0B4E07802}"/>
    <cellStyle name="Currency 3 2 5 9" xfId="4600" xr:uid="{00000000-0005-0000-0000-00001F120000}"/>
    <cellStyle name="Currency 3 2 5 9 2" xfId="14191" xr:uid="{86C687D1-D065-4D0D-9EEB-0E8ACE6378B0}"/>
    <cellStyle name="Currency 3 2 6" xfId="9544" xr:uid="{00000000-0005-0000-0000-00006F250000}"/>
    <cellStyle name="Currency 3 2 7" xfId="8751" xr:uid="{00000000-0005-0000-0000-000056220000}"/>
    <cellStyle name="Currency 3 2 8" xfId="9762" xr:uid="{F6EF790C-602C-467B-B36A-DA5A29988AE7}"/>
    <cellStyle name="Currency 3 3" xfId="159" xr:uid="{00000000-0005-0000-0000-0000BA000000}"/>
    <cellStyle name="Currency 3 3 2" xfId="9771" xr:uid="{C5B29CCB-7E17-49A2-9AF1-6DCD3CBF5659}"/>
    <cellStyle name="Currency 3 4" xfId="9761" xr:uid="{D87A6760-22E5-4335-ADCF-D1352D84D653}"/>
    <cellStyle name="Currency 4" xfId="160" xr:uid="{00000000-0005-0000-0000-0000BB000000}"/>
    <cellStyle name="Currency 4 2" xfId="161" xr:uid="{00000000-0005-0000-0000-0000BC000000}"/>
    <cellStyle name="Currency 4 2 2" xfId="678" xr:uid="{00000000-0005-0000-0000-0000CD020000}"/>
    <cellStyle name="Currency 4 2 2 2" xfId="10271" xr:uid="{C4623116-7997-434F-B31F-DE01E721B4F2}"/>
    <cellStyle name="Currency 4 2 3" xfId="9773" xr:uid="{B8C1F4AC-77C5-4AA9-9168-1AB42DF30838}"/>
    <cellStyle name="Currency 4 3" xfId="162" xr:uid="{00000000-0005-0000-0000-0000BD000000}"/>
    <cellStyle name="Currency 4 3 2" xfId="163" xr:uid="{00000000-0005-0000-0000-0000BE000000}"/>
    <cellStyle name="Currency 4 3 2 2" xfId="680" xr:uid="{00000000-0005-0000-0000-0000CF020000}"/>
    <cellStyle name="Currency 4 3 2 2 2" xfId="10273" xr:uid="{7193934F-C09B-4436-8101-E0FE0F548BF3}"/>
    <cellStyle name="Currency 4 3 2 3" xfId="9775" xr:uid="{2905E6FF-376F-4A58-A881-FD58416641C2}"/>
    <cellStyle name="Currency 4 3 3" xfId="679" xr:uid="{00000000-0005-0000-0000-0000CE020000}"/>
    <cellStyle name="Currency 4 3 3 2" xfId="10272" xr:uid="{70B5EF73-E771-4D0B-BC0B-417EEF1711E4}"/>
    <cellStyle name="Currency 4 3 4" xfId="9774" xr:uid="{816428A2-E1D6-4DBB-8F78-87BAC0FD25EB}"/>
    <cellStyle name="Currency 4 4" xfId="164" xr:uid="{00000000-0005-0000-0000-0000BF000000}"/>
    <cellStyle name="Currency 4 4 2" xfId="9776" xr:uid="{DCB2332B-9BBE-487E-A10E-F51860AC955F}"/>
    <cellStyle name="Currency 4 5" xfId="165" xr:uid="{00000000-0005-0000-0000-0000C0000000}"/>
    <cellStyle name="Currency 4 5 2" xfId="681" xr:uid="{00000000-0005-0000-0000-0000D0020000}"/>
    <cellStyle name="Currency 4 5 2 2" xfId="10274" xr:uid="{3D0DDF65-1B40-4F20-B8E9-E4ECDF16B7A6}"/>
    <cellStyle name="Currency 4 5 3" xfId="9777" xr:uid="{ECF9FF73-AFE2-4ADA-B997-C24D0064911A}"/>
    <cellStyle name="Currency 4 6" xfId="677" xr:uid="{00000000-0005-0000-0000-0000CC020000}"/>
    <cellStyle name="Currency 4 6 2" xfId="10270" xr:uid="{999C49A2-49CF-4E4B-AB5C-146AA2D7EF01}"/>
    <cellStyle name="Currency 4 7" xfId="9772" xr:uid="{5B302B07-5728-4AE2-89D0-E9B215A5F223}"/>
    <cellStyle name="Currency 5" xfId="166" xr:uid="{00000000-0005-0000-0000-0000C1000000}"/>
    <cellStyle name="Currency 5 10" xfId="9778" xr:uid="{A8D303C5-4050-4053-AF59-EB67A5F3B981}"/>
    <cellStyle name="Currency 5 2" xfId="167" xr:uid="{00000000-0005-0000-0000-0000C2000000}"/>
    <cellStyle name="Currency 5 2 2" xfId="168" xr:uid="{00000000-0005-0000-0000-0000C3000000}"/>
    <cellStyle name="Currency 5 2 2 2" xfId="169" xr:uid="{00000000-0005-0000-0000-0000C4000000}"/>
    <cellStyle name="Currency 5 2 2 2 10" xfId="2761" xr:uid="{00000000-0005-0000-0000-0000F00A0000}"/>
    <cellStyle name="Currency 5 2 2 2 10 2" xfId="6984" xr:uid="{00000000-0005-0000-0000-00006F1B0000}"/>
    <cellStyle name="Currency 5 2 2 2 10 2 2" xfId="16575" xr:uid="{3442D172-A74C-4CC6-9259-A94C1C973C28}"/>
    <cellStyle name="Currency 5 2 2 2 10 3" xfId="12353" xr:uid="{68196BF0-DB97-44A0-823D-8CE0AEAB6D10}"/>
    <cellStyle name="Currency 5 2 2 2 11" xfId="4601" xr:uid="{00000000-0005-0000-0000-000020120000}"/>
    <cellStyle name="Currency 5 2 2 2 11 2" xfId="14192" xr:uid="{AFC2F53B-2CE2-4878-B0E9-667B9A44EE3A}"/>
    <cellStyle name="Currency 5 2 2 2 12" xfId="8770" xr:uid="{00000000-0005-0000-0000-000069220000}"/>
    <cellStyle name="Currency 5 2 2 2 13" xfId="9781" xr:uid="{51E8DF23-1F82-46A1-9236-57EDDDAE5BD7}"/>
    <cellStyle name="Currency 5 2 2 2 2" xfId="170" xr:uid="{00000000-0005-0000-0000-0000C5000000}"/>
    <cellStyle name="Currency 5 2 2 2 2 10" xfId="4602" xr:uid="{00000000-0005-0000-0000-000021120000}"/>
    <cellStyle name="Currency 5 2 2 2 2 10 2" xfId="14193" xr:uid="{125B74B0-DFA5-4D0C-888B-6AAC37AD7FB0}"/>
    <cellStyle name="Currency 5 2 2 2 2 11" xfId="8873" xr:uid="{00000000-0005-0000-0000-0000D0220000}"/>
    <cellStyle name="Currency 5 2 2 2 2 12" xfId="9782" xr:uid="{D6AB3E33-6E78-40C5-BD6F-348E8EDAD83E}"/>
    <cellStyle name="Currency 5 2 2 2 2 2" xfId="171" xr:uid="{00000000-0005-0000-0000-0000C6000000}"/>
    <cellStyle name="Currency 5 2 2 2 2 2 10" xfId="9080" xr:uid="{00000000-0005-0000-0000-00009F230000}"/>
    <cellStyle name="Currency 5 2 2 2 2 2 11" xfId="9783" xr:uid="{49BDAB3D-AF2C-4BC6-8E66-11457578B04B}"/>
    <cellStyle name="Currency 5 2 2 2 2 2 2" xfId="686" xr:uid="{00000000-0005-0000-0000-0000D5020000}"/>
    <cellStyle name="Currency 5 2 2 2 2 2 2 2" xfId="2940" xr:uid="{00000000-0005-0000-0000-0000A30B0000}"/>
    <cellStyle name="Currency 5 2 2 2 2 2 2 2 2" xfId="7162" xr:uid="{00000000-0005-0000-0000-0000211C0000}"/>
    <cellStyle name="Currency 5 2 2 2 2 2 2 2 2 2" xfId="16753" xr:uid="{D4FFE140-9CB1-474C-BA18-A18E69E27B55}"/>
    <cellStyle name="Currency 5 2 2 2 2 2 2 2 3" xfId="12532" xr:uid="{22BED7E1-75BB-4069-812B-3F9E62503187}"/>
    <cellStyle name="Currency 5 2 2 2 2 2 2 3" xfId="5017" xr:uid="{00000000-0005-0000-0000-0000C0130000}"/>
    <cellStyle name="Currency 5 2 2 2 2 2 2 3 2" xfId="14608" xr:uid="{8B2B19D8-0794-4356-90F9-AACF7B2386B5}"/>
    <cellStyle name="Currency 5 2 2 2 2 2 2 4" xfId="9505" xr:uid="{00000000-0005-0000-0000-000048250000}"/>
    <cellStyle name="Currency 5 2 2 2 2 2 2 5" xfId="10279" xr:uid="{AB5D9662-DCB2-4BC0-9B93-5713133994CD}"/>
    <cellStyle name="Currency 5 2 2 2 2 2 3" xfId="1122" xr:uid="{00000000-0005-0000-0000-000089040000}"/>
    <cellStyle name="Currency 5 2 2 2 2 2 3 2" xfId="3353" xr:uid="{00000000-0005-0000-0000-0000400D0000}"/>
    <cellStyle name="Currency 5 2 2 2 2 2 3 2 2" xfId="7575" xr:uid="{00000000-0005-0000-0000-0000BE1D0000}"/>
    <cellStyle name="Currency 5 2 2 2 2 2 3 2 2 2" xfId="17166" xr:uid="{40B90138-29B3-4187-BC4C-2B6A72E26F38}"/>
    <cellStyle name="Currency 5 2 2 2 2 2 3 2 3" xfId="12945" xr:uid="{D660CAF9-268D-4163-98C4-BA63A4EDCFE0}"/>
    <cellStyle name="Currency 5 2 2 2 2 2 3 3" xfId="5430" xr:uid="{00000000-0005-0000-0000-00005D150000}"/>
    <cellStyle name="Currency 5 2 2 2 2 2 3 3 2" xfId="15021" xr:uid="{FB902F0D-3240-44CC-AB4E-D8D4F14CACF1}"/>
    <cellStyle name="Currency 5 2 2 2 2 2 3 4" xfId="10715" xr:uid="{21D634F2-8C74-4333-8A89-CC464E789BD0}"/>
    <cellStyle name="Currency 5 2 2 2 2 2 4" xfId="1536" xr:uid="{00000000-0005-0000-0000-000027060000}"/>
    <cellStyle name="Currency 5 2 2 2 2 2 4 2" xfId="3766" xr:uid="{00000000-0005-0000-0000-0000DD0E0000}"/>
    <cellStyle name="Currency 5 2 2 2 2 2 4 2 2" xfId="7988" xr:uid="{00000000-0005-0000-0000-00005B1F0000}"/>
    <cellStyle name="Currency 5 2 2 2 2 2 4 2 2 2" xfId="17579" xr:uid="{BBC63470-4A9A-47FB-8788-995D2C9A1D5A}"/>
    <cellStyle name="Currency 5 2 2 2 2 2 4 2 3" xfId="13358" xr:uid="{8CCF92C1-EE4B-41ED-B9B2-D72C30E9F54B}"/>
    <cellStyle name="Currency 5 2 2 2 2 2 4 3" xfId="5843" xr:uid="{00000000-0005-0000-0000-0000FA160000}"/>
    <cellStyle name="Currency 5 2 2 2 2 2 4 3 2" xfId="15434" xr:uid="{40D151D9-53EB-452D-89F4-0E7E3C170BB8}"/>
    <cellStyle name="Currency 5 2 2 2 2 2 4 4" xfId="11129" xr:uid="{1764B517-8475-407C-BFB5-71AA7EF328D2}"/>
    <cellStyle name="Currency 5 2 2 2 2 2 5" xfId="1950" xr:uid="{00000000-0005-0000-0000-0000C5070000}"/>
    <cellStyle name="Currency 5 2 2 2 2 2 5 2" xfId="4179" xr:uid="{00000000-0005-0000-0000-00007A100000}"/>
    <cellStyle name="Currency 5 2 2 2 2 2 5 2 2" xfId="8401" xr:uid="{00000000-0005-0000-0000-0000F8200000}"/>
    <cellStyle name="Currency 5 2 2 2 2 2 5 2 2 2" xfId="17992" xr:uid="{130823BE-37D3-4939-BF74-A1F24DDCAE53}"/>
    <cellStyle name="Currency 5 2 2 2 2 2 5 2 3" xfId="13771" xr:uid="{91ED6EFA-1A42-4518-A018-6494D981B627}"/>
    <cellStyle name="Currency 5 2 2 2 2 2 5 3" xfId="6256" xr:uid="{00000000-0005-0000-0000-000097180000}"/>
    <cellStyle name="Currency 5 2 2 2 2 2 5 3 2" xfId="15847" xr:uid="{B11CB5E8-5B55-4ACA-9B6A-2FD9E1E0F4DC}"/>
    <cellStyle name="Currency 5 2 2 2 2 2 5 4" xfId="11542" xr:uid="{658FBB7A-7F3F-4A77-BDB9-93A017C95BCC}"/>
    <cellStyle name="Currency 5 2 2 2 2 2 6" xfId="2385" xr:uid="{00000000-0005-0000-0000-000078090000}"/>
    <cellStyle name="Currency 5 2 2 2 2 2 6 2" xfId="6669" xr:uid="{00000000-0005-0000-0000-0000341A0000}"/>
    <cellStyle name="Currency 5 2 2 2 2 2 6 2 2" xfId="16260" xr:uid="{F7951552-A307-440E-8CA8-C46DC268747F}"/>
    <cellStyle name="Currency 5 2 2 2 2 2 6 3" xfId="11977" xr:uid="{F096B8D9-BFA9-49C5-8009-ADBC0DEA4E3E}"/>
    <cellStyle name="Currency 5 2 2 2 2 2 7" xfId="2682" xr:uid="{00000000-0005-0000-0000-0000A10A0000}"/>
    <cellStyle name="Currency 5 2 2 2 2 2 7 2" xfId="12274" xr:uid="{924CD410-567E-4A8E-8C25-D4D5EF1A2EA9}"/>
    <cellStyle name="Currency 5 2 2 2 2 2 8" xfId="2763" xr:uid="{00000000-0005-0000-0000-0000F20A0000}"/>
    <cellStyle name="Currency 5 2 2 2 2 2 8 2" xfId="6986" xr:uid="{00000000-0005-0000-0000-0000711B0000}"/>
    <cellStyle name="Currency 5 2 2 2 2 2 8 2 2" xfId="16577" xr:uid="{BCCACE54-53D4-45C9-9B93-2F52CD5B68BF}"/>
    <cellStyle name="Currency 5 2 2 2 2 2 8 3" xfId="12355" xr:uid="{1707A1BD-9330-4D34-8C6C-F3AF9B9E9D58}"/>
    <cellStyle name="Currency 5 2 2 2 2 2 9" xfId="4603" xr:uid="{00000000-0005-0000-0000-000022120000}"/>
    <cellStyle name="Currency 5 2 2 2 2 2 9 2" xfId="14194" xr:uid="{1A41424F-C059-4BA2-B0E4-10CD3E96F1A9}"/>
    <cellStyle name="Currency 5 2 2 2 2 3" xfId="685" xr:uid="{00000000-0005-0000-0000-0000D4020000}"/>
    <cellStyle name="Currency 5 2 2 2 2 3 2" xfId="2939" xr:uid="{00000000-0005-0000-0000-0000A20B0000}"/>
    <cellStyle name="Currency 5 2 2 2 2 3 2 2" xfId="7161" xr:uid="{00000000-0005-0000-0000-0000201C0000}"/>
    <cellStyle name="Currency 5 2 2 2 2 3 2 2 2" xfId="16752" xr:uid="{BD7C9C1B-499B-4501-9C1A-FB9642D99CE2}"/>
    <cellStyle name="Currency 5 2 2 2 2 3 2 3" xfId="12531" xr:uid="{CC6191E3-D545-42B5-9147-CBAEA300CDA4}"/>
    <cellStyle name="Currency 5 2 2 2 2 3 3" xfId="5016" xr:uid="{00000000-0005-0000-0000-0000BF130000}"/>
    <cellStyle name="Currency 5 2 2 2 2 3 3 2" xfId="14607" xr:uid="{4EB23ABA-1DC8-413C-99B1-228E98211A14}"/>
    <cellStyle name="Currency 5 2 2 2 2 3 4" xfId="9298" xr:uid="{00000000-0005-0000-0000-000079240000}"/>
    <cellStyle name="Currency 5 2 2 2 2 3 5" xfId="10278" xr:uid="{7DC39019-DA3E-4013-B783-CBBACFB83014}"/>
    <cellStyle name="Currency 5 2 2 2 2 4" xfId="1121" xr:uid="{00000000-0005-0000-0000-000088040000}"/>
    <cellStyle name="Currency 5 2 2 2 2 4 2" xfId="3352" xr:uid="{00000000-0005-0000-0000-00003F0D0000}"/>
    <cellStyle name="Currency 5 2 2 2 2 4 2 2" xfId="7574" xr:uid="{00000000-0005-0000-0000-0000BD1D0000}"/>
    <cellStyle name="Currency 5 2 2 2 2 4 2 2 2" xfId="17165" xr:uid="{8C4B9A0D-79C6-4670-AB45-40F7577E0EB3}"/>
    <cellStyle name="Currency 5 2 2 2 2 4 2 3" xfId="12944" xr:uid="{6692A4A9-ECAE-4EFA-97B3-60A035E18FF5}"/>
    <cellStyle name="Currency 5 2 2 2 2 4 3" xfId="5429" xr:uid="{00000000-0005-0000-0000-00005C150000}"/>
    <cellStyle name="Currency 5 2 2 2 2 4 3 2" xfId="15020" xr:uid="{F0CF637F-DF87-46A3-AFB0-7E9A5FCBECD1}"/>
    <cellStyle name="Currency 5 2 2 2 2 4 4" xfId="10714" xr:uid="{57DE8FCC-A422-4B59-97F5-FA033A466B09}"/>
    <cellStyle name="Currency 5 2 2 2 2 5" xfId="1535" xr:uid="{00000000-0005-0000-0000-000026060000}"/>
    <cellStyle name="Currency 5 2 2 2 2 5 2" xfId="3765" xr:uid="{00000000-0005-0000-0000-0000DC0E0000}"/>
    <cellStyle name="Currency 5 2 2 2 2 5 2 2" xfId="7987" xr:uid="{00000000-0005-0000-0000-00005A1F0000}"/>
    <cellStyle name="Currency 5 2 2 2 2 5 2 2 2" xfId="17578" xr:uid="{1CF38939-1620-44D8-8D5C-6C2E3B41309D}"/>
    <cellStyle name="Currency 5 2 2 2 2 5 2 3" xfId="13357" xr:uid="{6BD45D3B-1CD0-4D76-9517-DC76055D8BDF}"/>
    <cellStyle name="Currency 5 2 2 2 2 5 3" xfId="5842" xr:uid="{00000000-0005-0000-0000-0000F9160000}"/>
    <cellStyle name="Currency 5 2 2 2 2 5 3 2" xfId="15433" xr:uid="{147CE891-2F72-4EED-8B16-6D77153E8440}"/>
    <cellStyle name="Currency 5 2 2 2 2 5 4" xfId="11128" xr:uid="{55028F1D-C5F2-4A54-8A3A-4A74FB8FFA56}"/>
    <cellStyle name="Currency 5 2 2 2 2 6" xfId="1949" xr:uid="{00000000-0005-0000-0000-0000C4070000}"/>
    <cellStyle name="Currency 5 2 2 2 2 6 2" xfId="4178" xr:uid="{00000000-0005-0000-0000-000079100000}"/>
    <cellStyle name="Currency 5 2 2 2 2 6 2 2" xfId="8400" xr:uid="{00000000-0005-0000-0000-0000F7200000}"/>
    <cellStyle name="Currency 5 2 2 2 2 6 2 2 2" xfId="17991" xr:uid="{C778FDDA-6E2A-462C-A8ED-1B7C123EC68B}"/>
    <cellStyle name="Currency 5 2 2 2 2 6 2 3" xfId="13770" xr:uid="{3AF0D8A0-B0E5-48D8-922E-1359ED6A4D8D}"/>
    <cellStyle name="Currency 5 2 2 2 2 6 3" xfId="6255" xr:uid="{00000000-0005-0000-0000-000096180000}"/>
    <cellStyle name="Currency 5 2 2 2 2 6 3 2" xfId="15846" xr:uid="{724B6411-D51F-4F6F-8380-A99521F870BE}"/>
    <cellStyle name="Currency 5 2 2 2 2 6 4" xfId="11541" xr:uid="{D3882B8E-F961-47DE-A904-0BB3D2A90F3B}"/>
    <cellStyle name="Currency 5 2 2 2 2 7" xfId="2384" xr:uid="{00000000-0005-0000-0000-000077090000}"/>
    <cellStyle name="Currency 5 2 2 2 2 7 2" xfId="6668" xr:uid="{00000000-0005-0000-0000-0000331A0000}"/>
    <cellStyle name="Currency 5 2 2 2 2 7 2 2" xfId="16259" xr:uid="{FE9D6651-B1B3-4AD4-8C19-3A3ADD25C322}"/>
    <cellStyle name="Currency 5 2 2 2 2 7 3" xfId="11976" xr:uid="{0D594DB2-6719-4997-AE16-0DCD2A3CF9BB}"/>
    <cellStyle name="Currency 5 2 2 2 2 8" xfId="2681" xr:uid="{00000000-0005-0000-0000-0000A00A0000}"/>
    <cellStyle name="Currency 5 2 2 2 2 8 2" xfId="12273" xr:uid="{E0558650-C912-4401-BAF9-D5F5FDF3E4CA}"/>
    <cellStyle name="Currency 5 2 2 2 2 9" xfId="2762" xr:uid="{00000000-0005-0000-0000-0000F10A0000}"/>
    <cellStyle name="Currency 5 2 2 2 2 9 2" xfId="6985" xr:uid="{00000000-0005-0000-0000-0000701B0000}"/>
    <cellStyle name="Currency 5 2 2 2 2 9 2 2" xfId="16576" xr:uid="{034F08FE-C83D-4461-8CEB-09845BD1826C}"/>
    <cellStyle name="Currency 5 2 2 2 2 9 3" xfId="12354" xr:uid="{1651FED7-B58F-48A6-9B74-C84CE8B9D3B1}"/>
    <cellStyle name="Currency 5 2 2 2 3" xfId="172" xr:uid="{00000000-0005-0000-0000-0000C7000000}"/>
    <cellStyle name="Currency 5 2 2 2 3 10" xfId="8977" xr:uid="{00000000-0005-0000-0000-000038230000}"/>
    <cellStyle name="Currency 5 2 2 2 3 11" xfId="9784" xr:uid="{D027BB81-9E72-4A58-8A79-15EBDB12B3B9}"/>
    <cellStyle name="Currency 5 2 2 2 3 2" xfId="687" xr:uid="{00000000-0005-0000-0000-0000D6020000}"/>
    <cellStyle name="Currency 5 2 2 2 3 2 2" xfId="2941" xr:uid="{00000000-0005-0000-0000-0000A40B0000}"/>
    <cellStyle name="Currency 5 2 2 2 3 2 2 2" xfId="7163" xr:uid="{00000000-0005-0000-0000-0000221C0000}"/>
    <cellStyle name="Currency 5 2 2 2 3 2 2 2 2" xfId="16754" xr:uid="{075BCED5-7641-4980-8858-39D866790692}"/>
    <cellStyle name="Currency 5 2 2 2 3 2 2 3" xfId="12533" xr:uid="{703CF29D-66FD-4EF1-84A3-EB19F5664BED}"/>
    <cellStyle name="Currency 5 2 2 2 3 2 3" xfId="5018" xr:uid="{00000000-0005-0000-0000-0000C1130000}"/>
    <cellStyle name="Currency 5 2 2 2 3 2 3 2" xfId="14609" xr:uid="{A0B6EFDE-FC42-4B1F-9820-2DC6699DAE1E}"/>
    <cellStyle name="Currency 5 2 2 2 3 2 4" xfId="9402" xr:uid="{00000000-0005-0000-0000-0000E1240000}"/>
    <cellStyle name="Currency 5 2 2 2 3 2 5" xfId="10280" xr:uid="{13D75AEF-F4E3-4521-BCA8-D200235F4013}"/>
    <cellStyle name="Currency 5 2 2 2 3 3" xfId="1123" xr:uid="{00000000-0005-0000-0000-00008A040000}"/>
    <cellStyle name="Currency 5 2 2 2 3 3 2" xfId="3354" xr:uid="{00000000-0005-0000-0000-0000410D0000}"/>
    <cellStyle name="Currency 5 2 2 2 3 3 2 2" xfId="7576" xr:uid="{00000000-0005-0000-0000-0000BF1D0000}"/>
    <cellStyle name="Currency 5 2 2 2 3 3 2 2 2" xfId="17167" xr:uid="{208DF88A-E2F8-4A76-933B-69D6C3D7CF1F}"/>
    <cellStyle name="Currency 5 2 2 2 3 3 2 3" xfId="12946" xr:uid="{F4BEC287-5888-4A15-BC46-5AF076075517}"/>
    <cellStyle name="Currency 5 2 2 2 3 3 3" xfId="5431" xr:uid="{00000000-0005-0000-0000-00005E150000}"/>
    <cellStyle name="Currency 5 2 2 2 3 3 3 2" xfId="15022" xr:uid="{EFCDB791-AF39-4872-BEB4-C62BF6E1FB49}"/>
    <cellStyle name="Currency 5 2 2 2 3 3 4" xfId="10716" xr:uid="{0B12768B-70DB-4368-BC21-A4D4B9305D0A}"/>
    <cellStyle name="Currency 5 2 2 2 3 4" xfId="1537" xr:uid="{00000000-0005-0000-0000-000028060000}"/>
    <cellStyle name="Currency 5 2 2 2 3 4 2" xfId="3767" xr:uid="{00000000-0005-0000-0000-0000DE0E0000}"/>
    <cellStyle name="Currency 5 2 2 2 3 4 2 2" xfId="7989" xr:uid="{00000000-0005-0000-0000-00005C1F0000}"/>
    <cellStyle name="Currency 5 2 2 2 3 4 2 2 2" xfId="17580" xr:uid="{013BDAAB-61A5-49D4-9FC9-CA6C6522052D}"/>
    <cellStyle name="Currency 5 2 2 2 3 4 2 3" xfId="13359" xr:uid="{87DAAAB8-FA4D-4501-A237-D5C7FBDB0625}"/>
    <cellStyle name="Currency 5 2 2 2 3 4 3" xfId="5844" xr:uid="{00000000-0005-0000-0000-0000FB160000}"/>
    <cellStyle name="Currency 5 2 2 2 3 4 3 2" xfId="15435" xr:uid="{28C26A6E-06B4-467E-9EB3-52CB106FA3B3}"/>
    <cellStyle name="Currency 5 2 2 2 3 4 4" xfId="11130" xr:uid="{A1C5F491-55D1-4822-A344-0A33B1C3E504}"/>
    <cellStyle name="Currency 5 2 2 2 3 5" xfId="1951" xr:uid="{00000000-0005-0000-0000-0000C6070000}"/>
    <cellStyle name="Currency 5 2 2 2 3 5 2" xfId="4180" xr:uid="{00000000-0005-0000-0000-00007B100000}"/>
    <cellStyle name="Currency 5 2 2 2 3 5 2 2" xfId="8402" xr:uid="{00000000-0005-0000-0000-0000F9200000}"/>
    <cellStyle name="Currency 5 2 2 2 3 5 2 2 2" xfId="17993" xr:uid="{2B5E45D2-3DAF-4724-A859-D7641C6B2970}"/>
    <cellStyle name="Currency 5 2 2 2 3 5 2 3" xfId="13772" xr:uid="{158FE3EF-9CA7-4329-89FE-7EA3FD26560B}"/>
    <cellStyle name="Currency 5 2 2 2 3 5 3" xfId="6257" xr:uid="{00000000-0005-0000-0000-000098180000}"/>
    <cellStyle name="Currency 5 2 2 2 3 5 3 2" xfId="15848" xr:uid="{5982F899-669B-42F6-958A-0E4ED6F2C544}"/>
    <cellStyle name="Currency 5 2 2 2 3 5 4" xfId="11543" xr:uid="{46BF9FFF-2EAB-4AD2-9322-BDDD2385DD0E}"/>
    <cellStyle name="Currency 5 2 2 2 3 6" xfId="2386" xr:uid="{00000000-0005-0000-0000-000079090000}"/>
    <cellStyle name="Currency 5 2 2 2 3 6 2" xfId="6670" xr:uid="{00000000-0005-0000-0000-0000351A0000}"/>
    <cellStyle name="Currency 5 2 2 2 3 6 2 2" xfId="16261" xr:uid="{ABE10890-804C-4B40-9F0B-DCA8119AE346}"/>
    <cellStyle name="Currency 5 2 2 2 3 6 3" xfId="11978" xr:uid="{4EC9463A-38EA-4B0F-86C7-1B85BA4CF37B}"/>
    <cellStyle name="Currency 5 2 2 2 3 7" xfId="2683" xr:uid="{00000000-0005-0000-0000-0000A20A0000}"/>
    <cellStyle name="Currency 5 2 2 2 3 7 2" xfId="12275" xr:uid="{BB25B91A-99C7-4796-AF9C-55D6BB969936}"/>
    <cellStyle name="Currency 5 2 2 2 3 8" xfId="2764" xr:uid="{00000000-0005-0000-0000-0000F30A0000}"/>
    <cellStyle name="Currency 5 2 2 2 3 8 2" xfId="6987" xr:uid="{00000000-0005-0000-0000-0000721B0000}"/>
    <cellStyle name="Currency 5 2 2 2 3 8 2 2" xfId="16578" xr:uid="{C7FC6710-853F-42BF-8249-579280053EA2}"/>
    <cellStyle name="Currency 5 2 2 2 3 8 3" xfId="12356" xr:uid="{2FB312FD-369B-4549-81ED-45096EB471A2}"/>
    <cellStyle name="Currency 5 2 2 2 3 9" xfId="4604" xr:uid="{00000000-0005-0000-0000-000023120000}"/>
    <cellStyle name="Currency 5 2 2 2 3 9 2" xfId="14195" xr:uid="{54F8E0B8-4594-40AD-8268-721BCE58559E}"/>
    <cellStyle name="Currency 5 2 2 2 4" xfId="684" xr:uid="{00000000-0005-0000-0000-0000D3020000}"/>
    <cellStyle name="Currency 5 2 2 2 4 2" xfId="2938" xr:uid="{00000000-0005-0000-0000-0000A10B0000}"/>
    <cellStyle name="Currency 5 2 2 2 4 2 2" xfId="7160" xr:uid="{00000000-0005-0000-0000-00001F1C0000}"/>
    <cellStyle name="Currency 5 2 2 2 4 2 2 2" xfId="16751" xr:uid="{97CF1F9A-AFD1-42C7-B617-EA8FAE06315B}"/>
    <cellStyle name="Currency 5 2 2 2 4 2 3" xfId="12530" xr:uid="{D4103340-6C36-4BA6-BEC2-9D3C70D35057}"/>
    <cellStyle name="Currency 5 2 2 2 4 3" xfId="5015" xr:uid="{00000000-0005-0000-0000-0000BE130000}"/>
    <cellStyle name="Currency 5 2 2 2 4 3 2" xfId="14606" xr:uid="{3BBA25D8-00CC-4792-A8DE-E4464F3021FE}"/>
    <cellStyle name="Currency 5 2 2 2 4 4" xfId="9195" xr:uid="{00000000-0005-0000-0000-000012240000}"/>
    <cellStyle name="Currency 5 2 2 2 4 5" xfId="10277" xr:uid="{1DACEB73-8957-4AFE-95D2-19A63B0482BA}"/>
    <cellStyle name="Currency 5 2 2 2 5" xfId="1120" xr:uid="{00000000-0005-0000-0000-000087040000}"/>
    <cellStyle name="Currency 5 2 2 2 5 2" xfId="3351" xr:uid="{00000000-0005-0000-0000-00003E0D0000}"/>
    <cellStyle name="Currency 5 2 2 2 5 2 2" xfId="7573" xr:uid="{00000000-0005-0000-0000-0000BC1D0000}"/>
    <cellStyle name="Currency 5 2 2 2 5 2 2 2" xfId="17164" xr:uid="{4A701626-264D-4082-8B6C-4528AB9A92FB}"/>
    <cellStyle name="Currency 5 2 2 2 5 2 3" xfId="12943" xr:uid="{12B343CB-CD1D-43A9-9679-21AEE7ADF1E0}"/>
    <cellStyle name="Currency 5 2 2 2 5 3" xfId="5428" xr:uid="{00000000-0005-0000-0000-00005B150000}"/>
    <cellStyle name="Currency 5 2 2 2 5 3 2" xfId="15019" xr:uid="{4BFA9144-69E7-42F8-A0A3-6CB01B0F9BBC}"/>
    <cellStyle name="Currency 5 2 2 2 5 4" xfId="10713" xr:uid="{678781D3-108E-4082-885D-107F188A7121}"/>
    <cellStyle name="Currency 5 2 2 2 6" xfId="1534" xr:uid="{00000000-0005-0000-0000-000025060000}"/>
    <cellStyle name="Currency 5 2 2 2 6 2" xfId="3764" xr:uid="{00000000-0005-0000-0000-0000DB0E0000}"/>
    <cellStyle name="Currency 5 2 2 2 6 2 2" xfId="7986" xr:uid="{00000000-0005-0000-0000-0000591F0000}"/>
    <cellStyle name="Currency 5 2 2 2 6 2 2 2" xfId="17577" xr:uid="{8F6510CC-DEE9-4420-916A-ED27A4CD3861}"/>
    <cellStyle name="Currency 5 2 2 2 6 2 3" xfId="13356" xr:uid="{59DE1EA7-1571-49E4-B2C3-85B1A48BFE50}"/>
    <cellStyle name="Currency 5 2 2 2 6 3" xfId="5841" xr:uid="{00000000-0005-0000-0000-0000F8160000}"/>
    <cellStyle name="Currency 5 2 2 2 6 3 2" xfId="15432" xr:uid="{387AA9CD-6663-4608-91CA-C02D06ED3106}"/>
    <cellStyle name="Currency 5 2 2 2 6 4" xfId="11127" xr:uid="{2D3B6156-F3D6-44FC-83AB-622E9C6B1952}"/>
    <cellStyle name="Currency 5 2 2 2 7" xfId="1948" xr:uid="{00000000-0005-0000-0000-0000C3070000}"/>
    <cellStyle name="Currency 5 2 2 2 7 2" xfId="4177" xr:uid="{00000000-0005-0000-0000-000078100000}"/>
    <cellStyle name="Currency 5 2 2 2 7 2 2" xfId="8399" xr:uid="{00000000-0005-0000-0000-0000F6200000}"/>
    <cellStyle name="Currency 5 2 2 2 7 2 2 2" xfId="17990" xr:uid="{B938EA42-4EED-4FBE-A098-C4D8D3060B1B}"/>
    <cellStyle name="Currency 5 2 2 2 7 2 3" xfId="13769" xr:uid="{9A3553C4-2247-4832-B7C6-6607A5090BBC}"/>
    <cellStyle name="Currency 5 2 2 2 7 3" xfId="6254" xr:uid="{00000000-0005-0000-0000-000095180000}"/>
    <cellStyle name="Currency 5 2 2 2 7 3 2" xfId="15845" xr:uid="{63A36541-6BCE-4EA9-8E05-B88AD8944B0D}"/>
    <cellStyle name="Currency 5 2 2 2 7 4" xfId="11540" xr:uid="{3D56D16A-C8AE-4F5D-A257-DF6FB64CA1DF}"/>
    <cellStyle name="Currency 5 2 2 2 8" xfId="2383" xr:uid="{00000000-0005-0000-0000-000076090000}"/>
    <cellStyle name="Currency 5 2 2 2 8 2" xfId="6667" xr:uid="{00000000-0005-0000-0000-0000321A0000}"/>
    <cellStyle name="Currency 5 2 2 2 8 2 2" xfId="16258" xr:uid="{5D9F7E0C-19AB-47F0-8C03-740C4A029503}"/>
    <cellStyle name="Currency 5 2 2 2 8 3" xfId="11975" xr:uid="{D69BE5DB-910E-464B-8BDF-AC094DB6019C}"/>
    <cellStyle name="Currency 5 2 2 2 9" xfId="2680" xr:uid="{00000000-0005-0000-0000-00009F0A0000}"/>
    <cellStyle name="Currency 5 2 2 2 9 2" xfId="12272" xr:uid="{F71FA1E7-D532-4E6D-B7A8-55E15A2D40CB}"/>
    <cellStyle name="Currency 5 2 2 3" xfId="173" xr:uid="{00000000-0005-0000-0000-0000C8000000}"/>
    <cellStyle name="Currency 5 2 2 3 10" xfId="4605" xr:uid="{00000000-0005-0000-0000-000024120000}"/>
    <cellStyle name="Currency 5 2 2 3 10 2" xfId="14196" xr:uid="{556A1165-F8B4-43AF-95AC-ABB84D417573}"/>
    <cellStyle name="Currency 5 2 2 3 11" xfId="8851" xr:uid="{00000000-0005-0000-0000-0000BA220000}"/>
    <cellStyle name="Currency 5 2 2 3 12" xfId="9785" xr:uid="{FDF46F8E-A197-43A5-95ED-A252D7177F88}"/>
    <cellStyle name="Currency 5 2 2 3 2" xfId="174" xr:uid="{00000000-0005-0000-0000-0000C9000000}"/>
    <cellStyle name="Currency 5 2 2 3 2 10" xfId="9058" xr:uid="{00000000-0005-0000-0000-000089230000}"/>
    <cellStyle name="Currency 5 2 2 3 2 11" xfId="9786" xr:uid="{985F0E8C-2301-4F7B-8A8B-A9E64346EF56}"/>
    <cellStyle name="Currency 5 2 2 3 2 2" xfId="689" xr:uid="{00000000-0005-0000-0000-0000D8020000}"/>
    <cellStyle name="Currency 5 2 2 3 2 2 2" xfId="2943" xr:uid="{00000000-0005-0000-0000-0000A60B0000}"/>
    <cellStyle name="Currency 5 2 2 3 2 2 2 2" xfId="7165" xr:uid="{00000000-0005-0000-0000-0000241C0000}"/>
    <cellStyle name="Currency 5 2 2 3 2 2 2 2 2" xfId="16756" xr:uid="{A3AF2B88-F055-4843-B22C-B71F6A341747}"/>
    <cellStyle name="Currency 5 2 2 3 2 2 2 3" xfId="12535" xr:uid="{7A897F47-7058-47CA-9932-25FCAC9F4754}"/>
    <cellStyle name="Currency 5 2 2 3 2 2 3" xfId="5020" xr:uid="{00000000-0005-0000-0000-0000C3130000}"/>
    <cellStyle name="Currency 5 2 2 3 2 2 3 2" xfId="14611" xr:uid="{3CC326FA-59C9-4416-9461-D006D38CE931}"/>
    <cellStyle name="Currency 5 2 2 3 2 2 4" xfId="9483" xr:uid="{00000000-0005-0000-0000-000032250000}"/>
    <cellStyle name="Currency 5 2 2 3 2 2 5" xfId="10282" xr:uid="{5BFFC700-2D31-4C09-833E-B73ADAB753CF}"/>
    <cellStyle name="Currency 5 2 2 3 2 3" xfId="1125" xr:uid="{00000000-0005-0000-0000-00008C040000}"/>
    <cellStyle name="Currency 5 2 2 3 2 3 2" xfId="3356" xr:uid="{00000000-0005-0000-0000-0000430D0000}"/>
    <cellStyle name="Currency 5 2 2 3 2 3 2 2" xfId="7578" xr:uid="{00000000-0005-0000-0000-0000C11D0000}"/>
    <cellStyle name="Currency 5 2 2 3 2 3 2 2 2" xfId="17169" xr:uid="{500DEBAD-2E28-4082-9888-5B5F9062C388}"/>
    <cellStyle name="Currency 5 2 2 3 2 3 2 3" xfId="12948" xr:uid="{248D6495-3C4C-4FE0-A5D4-0E6AF0C2DCBF}"/>
    <cellStyle name="Currency 5 2 2 3 2 3 3" xfId="5433" xr:uid="{00000000-0005-0000-0000-000060150000}"/>
    <cellStyle name="Currency 5 2 2 3 2 3 3 2" xfId="15024" xr:uid="{83092E02-B977-4BC9-9AE3-D96CF84E4859}"/>
    <cellStyle name="Currency 5 2 2 3 2 3 4" xfId="10718" xr:uid="{97DB5A2A-8601-41C6-9C90-99CD0C49C670}"/>
    <cellStyle name="Currency 5 2 2 3 2 4" xfId="1539" xr:uid="{00000000-0005-0000-0000-00002A060000}"/>
    <cellStyle name="Currency 5 2 2 3 2 4 2" xfId="3769" xr:uid="{00000000-0005-0000-0000-0000E00E0000}"/>
    <cellStyle name="Currency 5 2 2 3 2 4 2 2" xfId="7991" xr:uid="{00000000-0005-0000-0000-00005E1F0000}"/>
    <cellStyle name="Currency 5 2 2 3 2 4 2 2 2" xfId="17582" xr:uid="{8AFC3B30-41D0-4919-B0F6-8626409A4B09}"/>
    <cellStyle name="Currency 5 2 2 3 2 4 2 3" xfId="13361" xr:uid="{ED5A304E-8FB3-4F54-8A8C-2BA8FE26C925}"/>
    <cellStyle name="Currency 5 2 2 3 2 4 3" xfId="5846" xr:uid="{00000000-0005-0000-0000-0000FD160000}"/>
    <cellStyle name="Currency 5 2 2 3 2 4 3 2" xfId="15437" xr:uid="{2AD05E96-31CC-4933-8C47-C82D0A198B3A}"/>
    <cellStyle name="Currency 5 2 2 3 2 4 4" xfId="11132" xr:uid="{7839CFF6-5F03-41AF-83DC-B3A172655D28}"/>
    <cellStyle name="Currency 5 2 2 3 2 5" xfId="1953" xr:uid="{00000000-0005-0000-0000-0000C8070000}"/>
    <cellStyle name="Currency 5 2 2 3 2 5 2" xfId="4182" xr:uid="{00000000-0005-0000-0000-00007D100000}"/>
    <cellStyle name="Currency 5 2 2 3 2 5 2 2" xfId="8404" xr:uid="{00000000-0005-0000-0000-0000FB200000}"/>
    <cellStyle name="Currency 5 2 2 3 2 5 2 2 2" xfId="17995" xr:uid="{F0FE5432-693B-48F8-83AF-B9667897854C}"/>
    <cellStyle name="Currency 5 2 2 3 2 5 2 3" xfId="13774" xr:uid="{DB2AA0DA-AF62-4574-972B-CF8A2DCCD8B8}"/>
    <cellStyle name="Currency 5 2 2 3 2 5 3" xfId="6259" xr:uid="{00000000-0005-0000-0000-00009A180000}"/>
    <cellStyle name="Currency 5 2 2 3 2 5 3 2" xfId="15850" xr:uid="{865CA63F-D682-4906-A2A7-C1D1B337C4B6}"/>
    <cellStyle name="Currency 5 2 2 3 2 5 4" xfId="11545" xr:uid="{8AF3F799-316D-49A5-95C0-88D7C605EBF0}"/>
    <cellStyle name="Currency 5 2 2 3 2 6" xfId="2388" xr:uid="{00000000-0005-0000-0000-00007B090000}"/>
    <cellStyle name="Currency 5 2 2 3 2 6 2" xfId="6672" xr:uid="{00000000-0005-0000-0000-0000371A0000}"/>
    <cellStyle name="Currency 5 2 2 3 2 6 2 2" xfId="16263" xr:uid="{32BF383F-49D1-4A5C-B029-71BAED3239CE}"/>
    <cellStyle name="Currency 5 2 2 3 2 6 3" xfId="11980" xr:uid="{415583A1-5FA7-47DA-875E-2A42787127AA}"/>
    <cellStyle name="Currency 5 2 2 3 2 7" xfId="2685" xr:uid="{00000000-0005-0000-0000-0000A40A0000}"/>
    <cellStyle name="Currency 5 2 2 3 2 7 2" xfId="12277" xr:uid="{50E184D1-C89E-427B-8E32-35FCE2788FAE}"/>
    <cellStyle name="Currency 5 2 2 3 2 8" xfId="2766" xr:uid="{00000000-0005-0000-0000-0000F50A0000}"/>
    <cellStyle name="Currency 5 2 2 3 2 8 2" xfId="6989" xr:uid="{00000000-0005-0000-0000-0000741B0000}"/>
    <cellStyle name="Currency 5 2 2 3 2 8 2 2" xfId="16580" xr:uid="{568F7FD1-313B-4118-B12F-E2D6BC56D6F4}"/>
    <cellStyle name="Currency 5 2 2 3 2 8 3" xfId="12358" xr:uid="{B3E15142-8FA6-4826-8A7C-E8325363EECD}"/>
    <cellStyle name="Currency 5 2 2 3 2 9" xfId="4606" xr:uid="{00000000-0005-0000-0000-000025120000}"/>
    <cellStyle name="Currency 5 2 2 3 2 9 2" xfId="14197" xr:uid="{4D376399-07D6-4837-8FD9-1E37D53BC1AF}"/>
    <cellStyle name="Currency 5 2 2 3 3" xfId="688" xr:uid="{00000000-0005-0000-0000-0000D7020000}"/>
    <cellStyle name="Currency 5 2 2 3 3 2" xfId="2942" xr:uid="{00000000-0005-0000-0000-0000A50B0000}"/>
    <cellStyle name="Currency 5 2 2 3 3 2 2" xfId="7164" xr:uid="{00000000-0005-0000-0000-0000231C0000}"/>
    <cellStyle name="Currency 5 2 2 3 3 2 2 2" xfId="16755" xr:uid="{6850CEC3-EC2D-45F7-AFF2-92758BCD9038}"/>
    <cellStyle name="Currency 5 2 2 3 3 2 3" xfId="12534" xr:uid="{77DC5477-823D-44CF-B789-0CFF3C8D4DE3}"/>
    <cellStyle name="Currency 5 2 2 3 3 3" xfId="5019" xr:uid="{00000000-0005-0000-0000-0000C2130000}"/>
    <cellStyle name="Currency 5 2 2 3 3 3 2" xfId="14610" xr:uid="{C512FAD0-B815-4D46-BEF0-8D61DA93F3DE}"/>
    <cellStyle name="Currency 5 2 2 3 3 4" xfId="9276" xr:uid="{00000000-0005-0000-0000-000063240000}"/>
    <cellStyle name="Currency 5 2 2 3 3 5" xfId="10281" xr:uid="{EB5586D0-2BC4-4C3A-AD25-21920989AD95}"/>
    <cellStyle name="Currency 5 2 2 3 4" xfId="1124" xr:uid="{00000000-0005-0000-0000-00008B040000}"/>
    <cellStyle name="Currency 5 2 2 3 4 2" xfId="3355" xr:uid="{00000000-0005-0000-0000-0000420D0000}"/>
    <cellStyle name="Currency 5 2 2 3 4 2 2" xfId="7577" xr:uid="{00000000-0005-0000-0000-0000C01D0000}"/>
    <cellStyle name="Currency 5 2 2 3 4 2 2 2" xfId="17168" xr:uid="{82D30D55-6BFE-4A16-9435-B505A801F18A}"/>
    <cellStyle name="Currency 5 2 2 3 4 2 3" xfId="12947" xr:uid="{BA2BF70B-9D67-4358-8700-30CB618C7E1F}"/>
    <cellStyle name="Currency 5 2 2 3 4 3" xfId="5432" xr:uid="{00000000-0005-0000-0000-00005F150000}"/>
    <cellStyle name="Currency 5 2 2 3 4 3 2" xfId="15023" xr:uid="{0E20A04A-8C15-4FF1-A4EE-DBD79795BC9C}"/>
    <cellStyle name="Currency 5 2 2 3 4 4" xfId="10717" xr:uid="{F8835FE1-4367-469E-A7A0-BABDCD6F911F}"/>
    <cellStyle name="Currency 5 2 2 3 5" xfId="1538" xr:uid="{00000000-0005-0000-0000-000029060000}"/>
    <cellStyle name="Currency 5 2 2 3 5 2" xfId="3768" xr:uid="{00000000-0005-0000-0000-0000DF0E0000}"/>
    <cellStyle name="Currency 5 2 2 3 5 2 2" xfId="7990" xr:uid="{00000000-0005-0000-0000-00005D1F0000}"/>
    <cellStyle name="Currency 5 2 2 3 5 2 2 2" xfId="17581" xr:uid="{77B7A7E4-D288-4CCD-8001-8200812383F2}"/>
    <cellStyle name="Currency 5 2 2 3 5 2 3" xfId="13360" xr:uid="{2AFA2917-692B-4F75-A597-2B83CFF4DDD2}"/>
    <cellStyle name="Currency 5 2 2 3 5 3" xfId="5845" xr:uid="{00000000-0005-0000-0000-0000FC160000}"/>
    <cellStyle name="Currency 5 2 2 3 5 3 2" xfId="15436" xr:uid="{E05E97D3-FCBD-40CA-ADC5-06A010E3D022}"/>
    <cellStyle name="Currency 5 2 2 3 5 4" xfId="11131" xr:uid="{19B0FD02-5DC2-41C3-9E92-A4AB04BAEAB5}"/>
    <cellStyle name="Currency 5 2 2 3 6" xfId="1952" xr:uid="{00000000-0005-0000-0000-0000C7070000}"/>
    <cellStyle name="Currency 5 2 2 3 6 2" xfId="4181" xr:uid="{00000000-0005-0000-0000-00007C100000}"/>
    <cellStyle name="Currency 5 2 2 3 6 2 2" xfId="8403" xr:uid="{00000000-0005-0000-0000-0000FA200000}"/>
    <cellStyle name="Currency 5 2 2 3 6 2 2 2" xfId="17994" xr:uid="{ED608928-15DA-4C9B-BE93-778BC4263D10}"/>
    <cellStyle name="Currency 5 2 2 3 6 2 3" xfId="13773" xr:uid="{F99BD0DE-86EB-4D2E-9FAD-7F378133906E}"/>
    <cellStyle name="Currency 5 2 2 3 6 3" xfId="6258" xr:uid="{00000000-0005-0000-0000-000099180000}"/>
    <cellStyle name="Currency 5 2 2 3 6 3 2" xfId="15849" xr:uid="{C46C8DFB-09F3-4005-A452-7F85EEC5902D}"/>
    <cellStyle name="Currency 5 2 2 3 6 4" xfId="11544" xr:uid="{C87026E3-D5AF-42FC-94A2-02E125722A9A}"/>
    <cellStyle name="Currency 5 2 2 3 7" xfId="2387" xr:uid="{00000000-0005-0000-0000-00007A090000}"/>
    <cellStyle name="Currency 5 2 2 3 7 2" xfId="6671" xr:uid="{00000000-0005-0000-0000-0000361A0000}"/>
    <cellStyle name="Currency 5 2 2 3 7 2 2" xfId="16262" xr:uid="{B453E1A4-176E-4449-95AA-447A2C719939}"/>
    <cellStyle name="Currency 5 2 2 3 7 3" xfId="11979" xr:uid="{7DF018F3-6D88-4C56-B167-DC8A66A7192E}"/>
    <cellStyle name="Currency 5 2 2 3 8" xfId="2684" xr:uid="{00000000-0005-0000-0000-0000A30A0000}"/>
    <cellStyle name="Currency 5 2 2 3 8 2" xfId="12276" xr:uid="{4AD8A2EF-C0A8-4ED2-9B9A-E4715537B144}"/>
    <cellStyle name="Currency 5 2 2 3 9" xfId="2765" xr:uid="{00000000-0005-0000-0000-0000F40A0000}"/>
    <cellStyle name="Currency 5 2 2 3 9 2" xfId="6988" xr:uid="{00000000-0005-0000-0000-0000731B0000}"/>
    <cellStyle name="Currency 5 2 2 3 9 2 2" xfId="16579" xr:uid="{64A02709-0CC4-4DB9-BFD7-2E25F3719846}"/>
    <cellStyle name="Currency 5 2 2 3 9 3" xfId="12357" xr:uid="{1737D89A-2654-498B-BA74-0DA70AD5A112}"/>
    <cellStyle name="Currency 5 2 2 4" xfId="175" xr:uid="{00000000-0005-0000-0000-0000CA000000}"/>
    <cellStyle name="Currency 5 2 2 4 10" xfId="8955" xr:uid="{00000000-0005-0000-0000-000022230000}"/>
    <cellStyle name="Currency 5 2 2 4 11" xfId="9787" xr:uid="{7F9C9398-96F4-4791-9501-C24B492DC680}"/>
    <cellStyle name="Currency 5 2 2 4 2" xfId="690" xr:uid="{00000000-0005-0000-0000-0000D9020000}"/>
    <cellStyle name="Currency 5 2 2 4 2 2" xfId="2944" xr:uid="{00000000-0005-0000-0000-0000A70B0000}"/>
    <cellStyle name="Currency 5 2 2 4 2 2 2" xfId="7166" xr:uid="{00000000-0005-0000-0000-0000251C0000}"/>
    <cellStyle name="Currency 5 2 2 4 2 2 2 2" xfId="16757" xr:uid="{CF351241-AEFD-4EEC-9835-4CA3C0FA13B2}"/>
    <cellStyle name="Currency 5 2 2 4 2 2 3" xfId="12536" xr:uid="{67C7978C-C550-45C7-AD00-5D2ECC434B2C}"/>
    <cellStyle name="Currency 5 2 2 4 2 3" xfId="5021" xr:uid="{00000000-0005-0000-0000-0000C4130000}"/>
    <cellStyle name="Currency 5 2 2 4 2 3 2" xfId="14612" xr:uid="{6B61A524-E769-4944-936B-35C9268B13CB}"/>
    <cellStyle name="Currency 5 2 2 4 2 4" xfId="9380" xr:uid="{00000000-0005-0000-0000-0000CB240000}"/>
    <cellStyle name="Currency 5 2 2 4 2 5" xfId="10283" xr:uid="{728E345B-A2A2-41AC-AFF4-EC204CA4BE6C}"/>
    <cellStyle name="Currency 5 2 2 4 3" xfId="1126" xr:uid="{00000000-0005-0000-0000-00008D040000}"/>
    <cellStyle name="Currency 5 2 2 4 3 2" xfId="3357" xr:uid="{00000000-0005-0000-0000-0000440D0000}"/>
    <cellStyle name="Currency 5 2 2 4 3 2 2" xfId="7579" xr:uid="{00000000-0005-0000-0000-0000C21D0000}"/>
    <cellStyle name="Currency 5 2 2 4 3 2 2 2" xfId="17170" xr:uid="{93335D50-312F-4397-8F13-F220366E823C}"/>
    <cellStyle name="Currency 5 2 2 4 3 2 3" xfId="12949" xr:uid="{46DBA930-65B2-416D-BFB7-46F2279BA4AD}"/>
    <cellStyle name="Currency 5 2 2 4 3 3" xfId="5434" xr:uid="{00000000-0005-0000-0000-000061150000}"/>
    <cellStyle name="Currency 5 2 2 4 3 3 2" xfId="15025" xr:uid="{8A175BC9-BB0A-4E70-8DB1-43BE639D29DF}"/>
    <cellStyle name="Currency 5 2 2 4 3 4" xfId="10719" xr:uid="{CB1F43A4-6A3B-4FFD-ADAC-A28FC4639533}"/>
    <cellStyle name="Currency 5 2 2 4 4" xfId="1540" xr:uid="{00000000-0005-0000-0000-00002B060000}"/>
    <cellStyle name="Currency 5 2 2 4 4 2" xfId="3770" xr:uid="{00000000-0005-0000-0000-0000E10E0000}"/>
    <cellStyle name="Currency 5 2 2 4 4 2 2" xfId="7992" xr:uid="{00000000-0005-0000-0000-00005F1F0000}"/>
    <cellStyle name="Currency 5 2 2 4 4 2 2 2" xfId="17583" xr:uid="{62E90338-7FF7-4C25-A2C1-AC31D9CE81C4}"/>
    <cellStyle name="Currency 5 2 2 4 4 2 3" xfId="13362" xr:uid="{0E3E5C11-4D28-4F28-9626-E761CF5CF0F1}"/>
    <cellStyle name="Currency 5 2 2 4 4 3" xfId="5847" xr:uid="{00000000-0005-0000-0000-0000FE160000}"/>
    <cellStyle name="Currency 5 2 2 4 4 3 2" xfId="15438" xr:uid="{A9A33637-25C3-4547-A96B-64AD441819C7}"/>
    <cellStyle name="Currency 5 2 2 4 4 4" xfId="11133" xr:uid="{5C1B7B8E-FAFC-4014-B873-EA7CE2A6B159}"/>
    <cellStyle name="Currency 5 2 2 4 5" xfId="1954" xr:uid="{00000000-0005-0000-0000-0000C9070000}"/>
    <cellStyle name="Currency 5 2 2 4 5 2" xfId="4183" xr:uid="{00000000-0005-0000-0000-00007E100000}"/>
    <cellStyle name="Currency 5 2 2 4 5 2 2" xfId="8405" xr:uid="{00000000-0005-0000-0000-0000FC200000}"/>
    <cellStyle name="Currency 5 2 2 4 5 2 2 2" xfId="17996" xr:uid="{FD4D0549-70FE-4E4A-8FA3-C05ED5F8C2B6}"/>
    <cellStyle name="Currency 5 2 2 4 5 2 3" xfId="13775" xr:uid="{F3BFFB8C-810E-4551-AA88-147D22F652BC}"/>
    <cellStyle name="Currency 5 2 2 4 5 3" xfId="6260" xr:uid="{00000000-0005-0000-0000-00009B180000}"/>
    <cellStyle name="Currency 5 2 2 4 5 3 2" xfId="15851" xr:uid="{AB51EEB9-D63C-4F0E-A7B9-678BDF5789F2}"/>
    <cellStyle name="Currency 5 2 2 4 5 4" xfId="11546" xr:uid="{1E892E37-B53C-40C4-AD88-E546B648CF00}"/>
    <cellStyle name="Currency 5 2 2 4 6" xfId="2389" xr:uid="{00000000-0005-0000-0000-00007C090000}"/>
    <cellStyle name="Currency 5 2 2 4 6 2" xfId="6673" xr:uid="{00000000-0005-0000-0000-0000381A0000}"/>
    <cellStyle name="Currency 5 2 2 4 6 2 2" xfId="16264" xr:uid="{3E18B501-EA9E-47F9-ADA8-DBED593A50C4}"/>
    <cellStyle name="Currency 5 2 2 4 6 3" xfId="11981" xr:uid="{838783A7-9412-4676-A0EB-74B129B25927}"/>
    <cellStyle name="Currency 5 2 2 4 7" xfId="2686" xr:uid="{00000000-0005-0000-0000-0000A50A0000}"/>
    <cellStyle name="Currency 5 2 2 4 7 2" xfId="12278" xr:uid="{1A4483FD-4A70-463F-8466-2F63AD9DEA15}"/>
    <cellStyle name="Currency 5 2 2 4 8" xfId="2767" xr:uid="{00000000-0005-0000-0000-0000F60A0000}"/>
    <cellStyle name="Currency 5 2 2 4 8 2" xfId="6990" xr:uid="{00000000-0005-0000-0000-0000751B0000}"/>
    <cellStyle name="Currency 5 2 2 4 8 2 2" xfId="16581" xr:uid="{13D8AAAB-6A08-42BC-A7B2-393DE7B3714D}"/>
    <cellStyle name="Currency 5 2 2 4 8 3" xfId="12359" xr:uid="{0AC3A4B2-C3EA-4D2D-9FA6-67C1EC45C84A}"/>
    <cellStyle name="Currency 5 2 2 4 9" xfId="4607" xr:uid="{00000000-0005-0000-0000-000026120000}"/>
    <cellStyle name="Currency 5 2 2 4 9 2" xfId="14198" xr:uid="{B9AEEE89-59C5-46C2-9569-F59CF652693B}"/>
    <cellStyle name="Currency 5 2 2 5" xfId="176" xr:uid="{00000000-0005-0000-0000-0000CB000000}"/>
    <cellStyle name="Currency 5 2 2 5 10" xfId="9172" xr:uid="{00000000-0005-0000-0000-0000FB230000}"/>
    <cellStyle name="Currency 5 2 2 5 11" xfId="9788" xr:uid="{9A323F85-CB8A-4815-B723-874940B2B33A}"/>
    <cellStyle name="Currency 5 2 2 5 2" xfId="691" xr:uid="{00000000-0005-0000-0000-0000DA020000}"/>
    <cellStyle name="Currency 5 2 2 5 2 2" xfId="2945" xr:uid="{00000000-0005-0000-0000-0000A80B0000}"/>
    <cellStyle name="Currency 5 2 2 5 2 2 2" xfId="7167" xr:uid="{00000000-0005-0000-0000-0000261C0000}"/>
    <cellStyle name="Currency 5 2 2 5 2 2 2 2" xfId="16758" xr:uid="{94C1F605-9D48-4517-B9CB-49F6CB3A7FBE}"/>
    <cellStyle name="Currency 5 2 2 5 2 2 3" xfId="12537" xr:uid="{DC1ED30E-5623-4EB7-BAFB-D4C01ED83C03}"/>
    <cellStyle name="Currency 5 2 2 5 2 3" xfId="5022" xr:uid="{00000000-0005-0000-0000-0000C5130000}"/>
    <cellStyle name="Currency 5 2 2 5 2 3 2" xfId="14613" xr:uid="{9FE35CC3-56F0-4FBE-A2D1-9A2BCA48DFCB}"/>
    <cellStyle name="Currency 5 2 2 5 2 4" xfId="9559" xr:uid="{00000000-0005-0000-0000-00007E250000}"/>
    <cellStyle name="Currency 5 2 2 5 2 5" xfId="10284" xr:uid="{5596F86B-1E30-4D53-8FDD-A24E2D6EBFA3}"/>
    <cellStyle name="Currency 5 2 2 5 3" xfId="1127" xr:uid="{00000000-0005-0000-0000-00008E040000}"/>
    <cellStyle name="Currency 5 2 2 5 3 2" xfId="3358" xr:uid="{00000000-0005-0000-0000-0000450D0000}"/>
    <cellStyle name="Currency 5 2 2 5 3 2 2" xfId="7580" xr:uid="{00000000-0005-0000-0000-0000C31D0000}"/>
    <cellStyle name="Currency 5 2 2 5 3 2 2 2" xfId="17171" xr:uid="{11D17F47-F6AA-4FA7-9C94-2F3B0162108E}"/>
    <cellStyle name="Currency 5 2 2 5 3 2 3" xfId="12950" xr:uid="{2544DB70-A424-4F40-BFDA-52BD6785B689}"/>
    <cellStyle name="Currency 5 2 2 5 3 3" xfId="5435" xr:uid="{00000000-0005-0000-0000-000062150000}"/>
    <cellStyle name="Currency 5 2 2 5 3 3 2" xfId="15026" xr:uid="{B419B989-AF7E-4948-8BFD-97263FC39C7A}"/>
    <cellStyle name="Currency 5 2 2 5 3 4" xfId="10720" xr:uid="{CDB0D29C-6245-43A7-A4DD-AF7F04FC47CB}"/>
    <cellStyle name="Currency 5 2 2 5 4" xfId="1541" xr:uid="{00000000-0005-0000-0000-00002C060000}"/>
    <cellStyle name="Currency 5 2 2 5 4 2" xfId="3771" xr:uid="{00000000-0005-0000-0000-0000E20E0000}"/>
    <cellStyle name="Currency 5 2 2 5 4 2 2" xfId="7993" xr:uid="{00000000-0005-0000-0000-0000601F0000}"/>
    <cellStyle name="Currency 5 2 2 5 4 2 2 2" xfId="17584" xr:uid="{C76F2EA1-4B8D-4E51-952D-F45223A9D2BF}"/>
    <cellStyle name="Currency 5 2 2 5 4 2 3" xfId="13363" xr:uid="{0ABB978C-4E23-4E54-828F-0FCCF047B85D}"/>
    <cellStyle name="Currency 5 2 2 5 4 3" xfId="5848" xr:uid="{00000000-0005-0000-0000-0000FF160000}"/>
    <cellStyle name="Currency 5 2 2 5 4 3 2" xfId="15439" xr:uid="{73ED7438-D9AA-4EF1-9606-4C303AE89A9D}"/>
    <cellStyle name="Currency 5 2 2 5 4 4" xfId="11134" xr:uid="{056D98F3-E159-42BA-BA14-E265AD381885}"/>
    <cellStyle name="Currency 5 2 2 5 5" xfId="1955" xr:uid="{00000000-0005-0000-0000-0000CA070000}"/>
    <cellStyle name="Currency 5 2 2 5 5 2" xfId="4184" xr:uid="{00000000-0005-0000-0000-00007F100000}"/>
    <cellStyle name="Currency 5 2 2 5 5 2 2" xfId="8406" xr:uid="{00000000-0005-0000-0000-0000FD200000}"/>
    <cellStyle name="Currency 5 2 2 5 5 2 2 2" xfId="17997" xr:uid="{E2262CA0-5F56-4374-BC28-E30FE5A6DB78}"/>
    <cellStyle name="Currency 5 2 2 5 5 2 3" xfId="13776" xr:uid="{7B25F740-BC5E-48EB-90B9-2F083FB19DDB}"/>
    <cellStyle name="Currency 5 2 2 5 5 3" xfId="6261" xr:uid="{00000000-0005-0000-0000-00009C180000}"/>
    <cellStyle name="Currency 5 2 2 5 5 3 2" xfId="15852" xr:uid="{730D7E45-575C-4F04-9EC7-106F147B6D87}"/>
    <cellStyle name="Currency 5 2 2 5 5 4" xfId="11547" xr:uid="{D8764297-0435-42AE-95F0-BE6BB8CF2E3B}"/>
    <cellStyle name="Currency 5 2 2 5 6" xfId="2390" xr:uid="{00000000-0005-0000-0000-00007D090000}"/>
    <cellStyle name="Currency 5 2 2 5 6 2" xfId="6674" xr:uid="{00000000-0005-0000-0000-0000391A0000}"/>
    <cellStyle name="Currency 5 2 2 5 6 2 2" xfId="16265" xr:uid="{D7F78DA8-8708-4679-9E21-A97F8B7330BA}"/>
    <cellStyle name="Currency 5 2 2 5 6 3" xfId="11982" xr:uid="{CC5F1EF0-6B0A-40E5-B4B8-2C5B82546BE3}"/>
    <cellStyle name="Currency 5 2 2 5 7" xfId="2687" xr:uid="{00000000-0005-0000-0000-0000A60A0000}"/>
    <cellStyle name="Currency 5 2 2 5 7 2" xfId="12279" xr:uid="{4EA53267-87A5-465C-8599-C73E6B02C610}"/>
    <cellStyle name="Currency 5 2 2 5 8" xfId="2768" xr:uid="{00000000-0005-0000-0000-0000F70A0000}"/>
    <cellStyle name="Currency 5 2 2 5 8 2" xfId="6991" xr:uid="{00000000-0005-0000-0000-0000761B0000}"/>
    <cellStyle name="Currency 5 2 2 5 8 2 2" xfId="16582" xr:uid="{FCC6D6FA-1241-45E6-8FB4-D96CAAC4AC1E}"/>
    <cellStyle name="Currency 5 2 2 5 8 3" xfId="12360" xr:uid="{4A45E7D6-8BBD-41C3-BF8E-F36F271102EF}"/>
    <cellStyle name="Currency 5 2 2 5 9" xfId="4608" xr:uid="{00000000-0005-0000-0000-000027120000}"/>
    <cellStyle name="Currency 5 2 2 5 9 2" xfId="14199" xr:uid="{CE2B7571-70E0-495A-869A-61E9D55CE6AE}"/>
    <cellStyle name="Currency 5 2 2 6" xfId="9545" xr:uid="{00000000-0005-0000-0000-000070250000}"/>
    <cellStyle name="Currency 5 2 2 7" xfId="8748" xr:uid="{00000000-0005-0000-0000-000053220000}"/>
    <cellStyle name="Currency 5 2 2 8" xfId="9780" xr:uid="{CB6941BB-0F05-4BA6-A14A-61A4B9633C42}"/>
    <cellStyle name="Currency 5 2 3" xfId="177" xr:uid="{00000000-0005-0000-0000-0000CC000000}"/>
    <cellStyle name="Currency 5 2 3 2" xfId="692" xr:uid="{00000000-0005-0000-0000-0000DB020000}"/>
    <cellStyle name="Currency 5 2 3 2 2" xfId="10285" xr:uid="{E2936136-6EB3-4285-8A5E-D7EEB2993D67}"/>
    <cellStyle name="Currency 5 2 3 3" xfId="9789" xr:uid="{5316EDC9-F320-4829-8B8B-D5484837B06D}"/>
    <cellStyle name="Currency 5 2 4" xfId="178" xr:uid="{00000000-0005-0000-0000-0000CD000000}"/>
    <cellStyle name="Currency 5 2 4 10" xfId="4609" xr:uid="{00000000-0005-0000-0000-000028120000}"/>
    <cellStyle name="Currency 5 2 4 10 2" xfId="14200" xr:uid="{19A06B51-159A-4DE0-BBB8-A4295307249A}"/>
    <cellStyle name="Currency 5 2 4 11" xfId="8820" xr:uid="{00000000-0005-0000-0000-00009B220000}"/>
    <cellStyle name="Currency 5 2 4 12" xfId="9790" xr:uid="{2BEE95A4-544D-4BDC-A6FA-9F7BB897A070}"/>
    <cellStyle name="Currency 5 2 4 2" xfId="179" xr:uid="{00000000-0005-0000-0000-0000CE000000}"/>
    <cellStyle name="Currency 5 2 4 2 10" xfId="9027" xr:uid="{00000000-0005-0000-0000-00006A230000}"/>
    <cellStyle name="Currency 5 2 4 2 11" xfId="9791" xr:uid="{49E3D6AC-D05E-418F-A685-CD15EE55732B}"/>
    <cellStyle name="Currency 5 2 4 2 2" xfId="694" xr:uid="{00000000-0005-0000-0000-0000DD020000}"/>
    <cellStyle name="Currency 5 2 4 2 2 2" xfId="2947" xr:uid="{00000000-0005-0000-0000-0000AA0B0000}"/>
    <cellStyle name="Currency 5 2 4 2 2 2 2" xfId="7169" xr:uid="{00000000-0005-0000-0000-0000281C0000}"/>
    <cellStyle name="Currency 5 2 4 2 2 2 2 2" xfId="16760" xr:uid="{D09954A3-EBE3-4885-BB92-B7BAC52079BA}"/>
    <cellStyle name="Currency 5 2 4 2 2 2 3" xfId="12539" xr:uid="{FB391684-AA87-4E6A-A0B2-218E523D3B4B}"/>
    <cellStyle name="Currency 5 2 4 2 2 3" xfId="5024" xr:uid="{00000000-0005-0000-0000-0000C7130000}"/>
    <cellStyle name="Currency 5 2 4 2 2 3 2" xfId="14615" xr:uid="{E84ABB6C-5B6E-42E6-BD73-B32482C98701}"/>
    <cellStyle name="Currency 5 2 4 2 2 4" xfId="9452" xr:uid="{00000000-0005-0000-0000-000013250000}"/>
    <cellStyle name="Currency 5 2 4 2 2 5" xfId="10287" xr:uid="{6B2090E7-A4AB-44F1-B751-A1621B992B13}"/>
    <cellStyle name="Currency 5 2 4 2 3" xfId="1129" xr:uid="{00000000-0005-0000-0000-000090040000}"/>
    <cellStyle name="Currency 5 2 4 2 3 2" xfId="3360" xr:uid="{00000000-0005-0000-0000-0000470D0000}"/>
    <cellStyle name="Currency 5 2 4 2 3 2 2" xfId="7582" xr:uid="{00000000-0005-0000-0000-0000C51D0000}"/>
    <cellStyle name="Currency 5 2 4 2 3 2 2 2" xfId="17173" xr:uid="{015C35B3-7D62-45A5-9C20-4E37F11B436A}"/>
    <cellStyle name="Currency 5 2 4 2 3 2 3" xfId="12952" xr:uid="{D39B3F9D-8F4C-4FF0-97FE-9A62C03FFB5D}"/>
    <cellStyle name="Currency 5 2 4 2 3 3" xfId="5437" xr:uid="{00000000-0005-0000-0000-000064150000}"/>
    <cellStyle name="Currency 5 2 4 2 3 3 2" xfId="15028" xr:uid="{0202D541-58E4-4C1B-A81E-8D5C3E2828E1}"/>
    <cellStyle name="Currency 5 2 4 2 3 4" xfId="10722" xr:uid="{34AEE302-E302-434A-945C-F3720E1A8465}"/>
    <cellStyle name="Currency 5 2 4 2 4" xfId="1543" xr:uid="{00000000-0005-0000-0000-00002E060000}"/>
    <cellStyle name="Currency 5 2 4 2 4 2" xfId="3773" xr:uid="{00000000-0005-0000-0000-0000E40E0000}"/>
    <cellStyle name="Currency 5 2 4 2 4 2 2" xfId="7995" xr:uid="{00000000-0005-0000-0000-0000621F0000}"/>
    <cellStyle name="Currency 5 2 4 2 4 2 2 2" xfId="17586" xr:uid="{C35C4346-DA1B-44E1-BDA2-C5D25F32DE31}"/>
    <cellStyle name="Currency 5 2 4 2 4 2 3" xfId="13365" xr:uid="{C0BE9099-18C8-4C84-8FF4-9F4B6B9D0104}"/>
    <cellStyle name="Currency 5 2 4 2 4 3" xfId="5850" xr:uid="{00000000-0005-0000-0000-000001170000}"/>
    <cellStyle name="Currency 5 2 4 2 4 3 2" xfId="15441" xr:uid="{618A0E81-8DFE-43EA-85D6-1E35C67634EA}"/>
    <cellStyle name="Currency 5 2 4 2 4 4" xfId="11136" xr:uid="{61E4ACF5-9ACF-4585-B6F6-04E9AC250F23}"/>
    <cellStyle name="Currency 5 2 4 2 5" xfId="1957" xr:uid="{00000000-0005-0000-0000-0000CC070000}"/>
    <cellStyle name="Currency 5 2 4 2 5 2" xfId="4186" xr:uid="{00000000-0005-0000-0000-000081100000}"/>
    <cellStyle name="Currency 5 2 4 2 5 2 2" xfId="8408" xr:uid="{00000000-0005-0000-0000-0000FF200000}"/>
    <cellStyle name="Currency 5 2 4 2 5 2 2 2" xfId="17999" xr:uid="{3AE76138-B6DD-48D3-A2EF-B3167F40DB32}"/>
    <cellStyle name="Currency 5 2 4 2 5 2 3" xfId="13778" xr:uid="{05584408-C7D1-4C8E-91B0-4B6A72D16C8C}"/>
    <cellStyle name="Currency 5 2 4 2 5 3" xfId="6263" xr:uid="{00000000-0005-0000-0000-00009E180000}"/>
    <cellStyle name="Currency 5 2 4 2 5 3 2" xfId="15854" xr:uid="{1094B71A-BF63-4D2B-AF4E-B4051EDE518E}"/>
    <cellStyle name="Currency 5 2 4 2 5 4" xfId="11549" xr:uid="{74EE93BD-22C9-4564-91D4-FA6430C52CE0}"/>
    <cellStyle name="Currency 5 2 4 2 6" xfId="2392" xr:uid="{00000000-0005-0000-0000-00007F090000}"/>
    <cellStyle name="Currency 5 2 4 2 6 2" xfId="6676" xr:uid="{00000000-0005-0000-0000-00003B1A0000}"/>
    <cellStyle name="Currency 5 2 4 2 6 2 2" xfId="16267" xr:uid="{5E94230F-3FB6-474D-A350-A4427D4E1F6C}"/>
    <cellStyle name="Currency 5 2 4 2 6 3" xfId="11984" xr:uid="{32A15AF2-940C-48C1-B24B-05679711E85D}"/>
    <cellStyle name="Currency 5 2 4 2 7" xfId="2689" xr:uid="{00000000-0005-0000-0000-0000A80A0000}"/>
    <cellStyle name="Currency 5 2 4 2 7 2" xfId="12281" xr:uid="{60BB1358-1E56-4A8B-85ED-5AB5CFBA4D61}"/>
    <cellStyle name="Currency 5 2 4 2 8" xfId="2770" xr:uid="{00000000-0005-0000-0000-0000F90A0000}"/>
    <cellStyle name="Currency 5 2 4 2 8 2" xfId="6993" xr:uid="{00000000-0005-0000-0000-0000781B0000}"/>
    <cellStyle name="Currency 5 2 4 2 8 2 2" xfId="16584" xr:uid="{DE504AA8-EB44-4B7A-BA07-5AD985449885}"/>
    <cellStyle name="Currency 5 2 4 2 8 3" xfId="12362" xr:uid="{D95CF27F-362D-424B-B257-6F6305312193}"/>
    <cellStyle name="Currency 5 2 4 2 9" xfId="4610" xr:uid="{00000000-0005-0000-0000-000029120000}"/>
    <cellStyle name="Currency 5 2 4 2 9 2" xfId="14201" xr:uid="{CE4C26CA-715D-48FD-8E6B-5288204AA0A6}"/>
    <cellStyle name="Currency 5 2 4 3" xfId="693" xr:uid="{00000000-0005-0000-0000-0000DC020000}"/>
    <cellStyle name="Currency 5 2 4 3 2" xfId="2946" xr:uid="{00000000-0005-0000-0000-0000A90B0000}"/>
    <cellStyle name="Currency 5 2 4 3 2 2" xfId="7168" xr:uid="{00000000-0005-0000-0000-0000271C0000}"/>
    <cellStyle name="Currency 5 2 4 3 2 2 2" xfId="16759" xr:uid="{4254140C-C16E-491E-A00F-68423B281DA0}"/>
    <cellStyle name="Currency 5 2 4 3 2 3" xfId="12538" xr:uid="{21DB5FE8-F4A1-4CF9-98A0-B26CB0BAAE2A}"/>
    <cellStyle name="Currency 5 2 4 3 3" xfId="5023" xr:uid="{00000000-0005-0000-0000-0000C6130000}"/>
    <cellStyle name="Currency 5 2 4 3 3 2" xfId="14614" xr:uid="{541246AE-9323-4B7E-9674-CCA0F4B27DA7}"/>
    <cellStyle name="Currency 5 2 4 3 4" xfId="9245" xr:uid="{00000000-0005-0000-0000-000044240000}"/>
    <cellStyle name="Currency 5 2 4 3 5" xfId="10286" xr:uid="{6A327D95-4766-411A-A35D-BD7DDF7B500F}"/>
    <cellStyle name="Currency 5 2 4 4" xfId="1128" xr:uid="{00000000-0005-0000-0000-00008F040000}"/>
    <cellStyle name="Currency 5 2 4 4 2" xfId="3359" xr:uid="{00000000-0005-0000-0000-0000460D0000}"/>
    <cellStyle name="Currency 5 2 4 4 2 2" xfId="7581" xr:uid="{00000000-0005-0000-0000-0000C41D0000}"/>
    <cellStyle name="Currency 5 2 4 4 2 2 2" xfId="17172" xr:uid="{F371B246-F819-4836-92C0-BA8FB34EF7A2}"/>
    <cellStyle name="Currency 5 2 4 4 2 3" xfId="12951" xr:uid="{49B5D4D9-ECE4-4DB8-AA1C-84F3B31E447E}"/>
    <cellStyle name="Currency 5 2 4 4 3" xfId="5436" xr:uid="{00000000-0005-0000-0000-000063150000}"/>
    <cellStyle name="Currency 5 2 4 4 3 2" xfId="15027" xr:uid="{1F4B87B5-224A-4BE9-9264-A519D651D764}"/>
    <cellStyle name="Currency 5 2 4 4 4" xfId="10721" xr:uid="{49200A85-1B7E-47B9-AB88-2E4CAE771464}"/>
    <cellStyle name="Currency 5 2 4 5" xfId="1542" xr:uid="{00000000-0005-0000-0000-00002D060000}"/>
    <cellStyle name="Currency 5 2 4 5 2" xfId="3772" xr:uid="{00000000-0005-0000-0000-0000E30E0000}"/>
    <cellStyle name="Currency 5 2 4 5 2 2" xfId="7994" xr:uid="{00000000-0005-0000-0000-0000611F0000}"/>
    <cellStyle name="Currency 5 2 4 5 2 2 2" xfId="17585" xr:uid="{64D8E562-2D4A-458F-B2AE-9A4D251A27A8}"/>
    <cellStyle name="Currency 5 2 4 5 2 3" xfId="13364" xr:uid="{8767EEDE-2E2D-419E-975B-958DDAA9EA94}"/>
    <cellStyle name="Currency 5 2 4 5 3" xfId="5849" xr:uid="{00000000-0005-0000-0000-000000170000}"/>
    <cellStyle name="Currency 5 2 4 5 3 2" xfId="15440" xr:uid="{1E44B824-EF60-4B1E-95CF-89DE39466100}"/>
    <cellStyle name="Currency 5 2 4 5 4" xfId="11135" xr:uid="{23BE602B-6193-4857-A84C-6343C63F828B}"/>
    <cellStyle name="Currency 5 2 4 6" xfId="1956" xr:uid="{00000000-0005-0000-0000-0000CB070000}"/>
    <cellStyle name="Currency 5 2 4 6 2" xfId="4185" xr:uid="{00000000-0005-0000-0000-000080100000}"/>
    <cellStyle name="Currency 5 2 4 6 2 2" xfId="8407" xr:uid="{00000000-0005-0000-0000-0000FE200000}"/>
    <cellStyle name="Currency 5 2 4 6 2 2 2" xfId="17998" xr:uid="{44DD9FB1-F6B4-4B56-BE35-42D26FA7FCBD}"/>
    <cellStyle name="Currency 5 2 4 6 2 3" xfId="13777" xr:uid="{685844BE-5790-48D6-BC9B-F5D1507CA968}"/>
    <cellStyle name="Currency 5 2 4 6 3" xfId="6262" xr:uid="{00000000-0005-0000-0000-00009D180000}"/>
    <cellStyle name="Currency 5 2 4 6 3 2" xfId="15853" xr:uid="{2972904E-EB02-45B5-84A7-DCC17B152B11}"/>
    <cellStyle name="Currency 5 2 4 6 4" xfId="11548" xr:uid="{4CA345C2-DE4D-455F-B67A-18B2A87BC411}"/>
    <cellStyle name="Currency 5 2 4 7" xfId="2391" xr:uid="{00000000-0005-0000-0000-00007E090000}"/>
    <cellStyle name="Currency 5 2 4 7 2" xfId="6675" xr:uid="{00000000-0005-0000-0000-00003A1A0000}"/>
    <cellStyle name="Currency 5 2 4 7 2 2" xfId="16266" xr:uid="{5BA44A5F-0383-4D94-A236-1200B0546B70}"/>
    <cellStyle name="Currency 5 2 4 7 3" xfId="11983" xr:uid="{A366814E-989D-4263-B757-D04A466481C2}"/>
    <cellStyle name="Currency 5 2 4 8" xfId="2688" xr:uid="{00000000-0005-0000-0000-0000A70A0000}"/>
    <cellStyle name="Currency 5 2 4 8 2" xfId="12280" xr:uid="{2D11D25F-E438-4D9B-B6CE-07E8B302472D}"/>
    <cellStyle name="Currency 5 2 4 9" xfId="2769" xr:uid="{00000000-0005-0000-0000-0000F80A0000}"/>
    <cellStyle name="Currency 5 2 4 9 2" xfId="6992" xr:uid="{00000000-0005-0000-0000-0000771B0000}"/>
    <cellStyle name="Currency 5 2 4 9 2 2" xfId="16583" xr:uid="{432C49D0-FFCE-4C07-9DCB-088E6BA600D0}"/>
    <cellStyle name="Currency 5 2 4 9 3" xfId="12361" xr:uid="{DF08CCD1-748C-461B-B4DD-43C08DE29F82}"/>
    <cellStyle name="Currency 5 2 5" xfId="180" xr:uid="{00000000-0005-0000-0000-0000CF000000}"/>
    <cellStyle name="Currency 5 2 5 10" xfId="8936" xr:uid="{00000000-0005-0000-0000-00000F230000}"/>
    <cellStyle name="Currency 5 2 5 11" xfId="9792" xr:uid="{48D1CA77-9559-4899-B3AF-20E406D73434}"/>
    <cellStyle name="Currency 5 2 5 2" xfId="695" xr:uid="{00000000-0005-0000-0000-0000DE020000}"/>
    <cellStyle name="Currency 5 2 5 2 2" xfId="2948" xr:uid="{00000000-0005-0000-0000-0000AB0B0000}"/>
    <cellStyle name="Currency 5 2 5 2 2 2" xfId="7170" xr:uid="{00000000-0005-0000-0000-0000291C0000}"/>
    <cellStyle name="Currency 5 2 5 2 2 2 2" xfId="16761" xr:uid="{C7B14C78-525E-448B-8BD1-1F3BAC57CEC5}"/>
    <cellStyle name="Currency 5 2 5 2 2 3" xfId="12540" xr:uid="{EA046F67-27B6-41C8-8C48-722AECA75143}"/>
    <cellStyle name="Currency 5 2 5 2 3" xfId="5025" xr:uid="{00000000-0005-0000-0000-0000C8130000}"/>
    <cellStyle name="Currency 5 2 5 2 3 2" xfId="14616" xr:uid="{56B0046C-B793-481C-AD5D-8F83B3DF4BDB}"/>
    <cellStyle name="Currency 5 2 5 2 4" xfId="9361" xr:uid="{00000000-0005-0000-0000-0000B8240000}"/>
    <cellStyle name="Currency 5 2 5 2 5" xfId="10288" xr:uid="{FEA56F43-B967-432D-B1C2-42C3B3DEC229}"/>
    <cellStyle name="Currency 5 2 5 3" xfId="1130" xr:uid="{00000000-0005-0000-0000-000091040000}"/>
    <cellStyle name="Currency 5 2 5 3 2" xfId="3361" xr:uid="{00000000-0005-0000-0000-0000480D0000}"/>
    <cellStyle name="Currency 5 2 5 3 2 2" xfId="7583" xr:uid="{00000000-0005-0000-0000-0000C61D0000}"/>
    <cellStyle name="Currency 5 2 5 3 2 2 2" xfId="17174" xr:uid="{F82081FF-9801-4FA6-B507-0021F9AB3B06}"/>
    <cellStyle name="Currency 5 2 5 3 2 3" xfId="12953" xr:uid="{BBC4DC3C-2237-4286-B05A-5A03CC9BDE75}"/>
    <cellStyle name="Currency 5 2 5 3 3" xfId="5438" xr:uid="{00000000-0005-0000-0000-000065150000}"/>
    <cellStyle name="Currency 5 2 5 3 3 2" xfId="15029" xr:uid="{64707256-76AB-423D-9196-10291A1CC4EF}"/>
    <cellStyle name="Currency 5 2 5 3 4" xfId="10723" xr:uid="{CE5B2A70-4AB5-4BF7-A92D-B29725AD9BC9}"/>
    <cellStyle name="Currency 5 2 5 4" xfId="1544" xr:uid="{00000000-0005-0000-0000-00002F060000}"/>
    <cellStyle name="Currency 5 2 5 4 2" xfId="3774" xr:uid="{00000000-0005-0000-0000-0000E50E0000}"/>
    <cellStyle name="Currency 5 2 5 4 2 2" xfId="7996" xr:uid="{00000000-0005-0000-0000-0000631F0000}"/>
    <cellStyle name="Currency 5 2 5 4 2 2 2" xfId="17587" xr:uid="{A2A55C13-2213-4DC5-B3C9-967F72AB0E9B}"/>
    <cellStyle name="Currency 5 2 5 4 2 3" xfId="13366" xr:uid="{1291BEA4-4702-4342-8D76-61DCBD787B37}"/>
    <cellStyle name="Currency 5 2 5 4 3" xfId="5851" xr:uid="{00000000-0005-0000-0000-000002170000}"/>
    <cellStyle name="Currency 5 2 5 4 3 2" xfId="15442" xr:uid="{C3706F75-8151-47AA-A602-632C41CB1B17}"/>
    <cellStyle name="Currency 5 2 5 4 4" xfId="11137" xr:uid="{7536FA40-E702-4F17-AF6D-151DEE53C9CB}"/>
    <cellStyle name="Currency 5 2 5 5" xfId="1958" xr:uid="{00000000-0005-0000-0000-0000CD070000}"/>
    <cellStyle name="Currency 5 2 5 5 2" xfId="4187" xr:uid="{00000000-0005-0000-0000-000082100000}"/>
    <cellStyle name="Currency 5 2 5 5 2 2" xfId="8409" xr:uid="{00000000-0005-0000-0000-000000210000}"/>
    <cellStyle name="Currency 5 2 5 5 2 2 2" xfId="18000" xr:uid="{3F68D188-CE5D-4B99-A760-4CF5BE0D7016}"/>
    <cellStyle name="Currency 5 2 5 5 2 3" xfId="13779" xr:uid="{8CFF49CD-1CC2-4B53-BE6B-CD8B62CF6A94}"/>
    <cellStyle name="Currency 5 2 5 5 3" xfId="6264" xr:uid="{00000000-0005-0000-0000-00009F180000}"/>
    <cellStyle name="Currency 5 2 5 5 3 2" xfId="15855" xr:uid="{EAC4A0BF-D419-479E-8782-EE12C558857E}"/>
    <cellStyle name="Currency 5 2 5 5 4" xfId="11550" xr:uid="{866E57AD-5064-46AA-BA79-86E0067A3117}"/>
    <cellStyle name="Currency 5 2 5 6" xfId="2393" xr:uid="{00000000-0005-0000-0000-000080090000}"/>
    <cellStyle name="Currency 5 2 5 6 2" xfId="6677" xr:uid="{00000000-0005-0000-0000-00003C1A0000}"/>
    <cellStyle name="Currency 5 2 5 6 2 2" xfId="16268" xr:uid="{0C11C0E4-461B-4F3C-A1A3-B8C2A80701EC}"/>
    <cellStyle name="Currency 5 2 5 6 3" xfId="11985" xr:uid="{A56B7C6A-8DCF-445A-91D6-DA7E8EE3EF72}"/>
    <cellStyle name="Currency 5 2 5 7" xfId="2690" xr:uid="{00000000-0005-0000-0000-0000A90A0000}"/>
    <cellStyle name="Currency 5 2 5 7 2" xfId="12282" xr:uid="{22D67AA1-1325-4438-8EA1-0DB5BED1E514}"/>
    <cellStyle name="Currency 5 2 5 8" xfId="2771" xr:uid="{00000000-0005-0000-0000-0000FA0A0000}"/>
    <cellStyle name="Currency 5 2 5 8 2" xfId="6994" xr:uid="{00000000-0005-0000-0000-0000791B0000}"/>
    <cellStyle name="Currency 5 2 5 8 2 2" xfId="16585" xr:uid="{AD39430F-9DF8-43C5-B13D-D3C1FFD796D9}"/>
    <cellStyle name="Currency 5 2 5 8 3" xfId="12363" xr:uid="{35687693-DF23-4D96-B1F3-710B4389D116}"/>
    <cellStyle name="Currency 5 2 5 9" xfId="4611" xr:uid="{00000000-0005-0000-0000-00002A120000}"/>
    <cellStyle name="Currency 5 2 5 9 2" xfId="14202" xr:uid="{F258FD65-7C5E-4B0C-BC4F-EAA8C884040C}"/>
    <cellStyle name="Currency 5 2 6" xfId="181" xr:uid="{00000000-0005-0000-0000-0000D0000000}"/>
    <cellStyle name="Currency 5 2 6 10" xfId="9139" xr:uid="{00000000-0005-0000-0000-0000DA230000}"/>
    <cellStyle name="Currency 5 2 6 11" xfId="9793" xr:uid="{F29654E5-24BF-4AEB-9146-3D949A071008}"/>
    <cellStyle name="Currency 5 2 6 2" xfId="696" xr:uid="{00000000-0005-0000-0000-0000DF020000}"/>
    <cellStyle name="Currency 5 2 6 2 2" xfId="2949" xr:uid="{00000000-0005-0000-0000-0000AC0B0000}"/>
    <cellStyle name="Currency 5 2 6 2 2 2" xfId="7171" xr:uid="{00000000-0005-0000-0000-00002A1C0000}"/>
    <cellStyle name="Currency 5 2 6 2 2 2 2" xfId="16762" xr:uid="{A946DA6E-C819-4A36-8E21-5CCE266AA57B}"/>
    <cellStyle name="Currency 5 2 6 2 2 3" xfId="12541" xr:uid="{C07DBC23-F8EE-4D43-A3BE-74047B4475ED}"/>
    <cellStyle name="Currency 5 2 6 2 3" xfId="5026" xr:uid="{00000000-0005-0000-0000-0000C9130000}"/>
    <cellStyle name="Currency 5 2 6 2 3 2" xfId="14617" xr:uid="{2AB4A3E3-5B37-4810-A63D-C1A5A2DC849C}"/>
    <cellStyle name="Currency 5 2 6 2 4" xfId="9560" xr:uid="{00000000-0005-0000-0000-00007F250000}"/>
    <cellStyle name="Currency 5 2 6 2 5" xfId="10289" xr:uid="{902CECE4-9DF3-438D-83D4-9727F39FABA2}"/>
    <cellStyle name="Currency 5 2 6 3" xfId="1131" xr:uid="{00000000-0005-0000-0000-000092040000}"/>
    <cellStyle name="Currency 5 2 6 3 2" xfId="3362" xr:uid="{00000000-0005-0000-0000-0000490D0000}"/>
    <cellStyle name="Currency 5 2 6 3 2 2" xfId="7584" xr:uid="{00000000-0005-0000-0000-0000C71D0000}"/>
    <cellStyle name="Currency 5 2 6 3 2 2 2" xfId="17175" xr:uid="{FE4F52B5-63FC-4FE1-B0A7-D2096DEDEB41}"/>
    <cellStyle name="Currency 5 2 6 3 2 3" xfId="12954" xr:uid="{7A703ECD-C19B-452D-B808-754FF0C4861A}"/>
    <cellStyle name="Currency 5 2 6 3 3" xfId="5439" xr:uid="{00000000-0005-0000-0000-000066150000}"/>
    <cellStyle name="Currency 5 2 6 3 3 2" xfId="15030" xr:uid="{F5B62581-1CC5-441A-A1C7-917766ED6234}"/>
    <cellStyle name="Currency 5 2 6 3 4" xfId="10724" xr:uid="{04FFA102-5583-495D-B34F-68C6FD753E84}"/>
    <cellStyle name="Currency 5 2 6 4" xfId="1545" xr:uid="{00000000-0005-0000-0000-000030060000}"/>
    <cellStyle name="Currency 5 2 6 4 2" xfId="3775" xr:uid="{00000000-0005-0000-0000-0000E60E0000}"/>
    <cellStyle name="Currency 5 2 6 4 2 2" xfId="7997" xr:uid="{00000000-0005-0000-0000-0000641F0000}"/>
    <cellStyle name="Currency 5 2 6 4 2 2 2" xfId="17588" xr:uid="{32E23CB2-7079-4BA8-A90E-0F2F68CD5D0F}"/>
    <cellStyle name="Currency 5 2 6 4 2 3" xfId="13367" xr:uid="{A468DC98-C335-4035-B5F7-CF7C03C04748}"/>
    <cellStyle name="Currency 5 2 6 4 3" xfId="5852" xr:uid="{00000000-0005-0000-0000-000003170000}"/>
    <cellStyle name="Currency 5 2 6 4 3 2" xfId="15443" xr:uid="{EE05F628-4544-42F8-8FE9-463DEFACBC21}"/>
    <cellStyle name="Currency 5 2 6 4 4" xfId="11138" xr:uid="{FADD4F32-AE1A-41D4-9DF5-05955B984865}"/>
    <cellStyle name="Currency 5 2 6 5" xfId="1959" xr:uid="{00000000-0005-0000-0000-0000CE070000}"/>
    <cellStyle name="Currency 5 2 6 5 2" xfId="4188" xr:uid="{00000000-0005-0000-0000-000083100000}"/>
    <cellStyle name="Currency 5 2 6 5 2 2" xfId="8410" xr:uid="{00000000-0005-0000-0000-000001210000}"/>
    <cellStyle name="Currency 5 2 6 5 2 2 2" xfId="18001" xr:uid="{ABFE9B14-3070-41F8-96A0-520654730493}"/>
    <cellStyle name="Currency 5 2 6 5 2 3" xfId="13780" xr:uid="{8A26E6EA-105E-4ED0-9986-81D89C30587A}"/>
    <cellStyle name="Currency 5 2 6 5 3" xfId="6265" xr:uid="{00000000-0005-0000-0000-0000A0180000}"/>
    <cellStyle name="Currency 5 2 6 5 3 2" xfId="15856" xr:uid="{476BCF58-B811-4A67-868B-3ACBA6477F0F}"/>
    <cellStyle name="Currency 5 2 6 5 4" xfId="11551" xr:uid="{7F40CD4F-DA61-4561-A259-568B2A777B75}"/>
    <cellStyle name="Currency 5 2 6 6" xfId="2394" xr:uid="{00000000-0005-0000-0000-000081090000}"/>
    <cellStyle name="Currency 5 2 6 6 2" xfId="6678" xr:uid="{00000000-0005-0000-0000-00003D1A0000}"/>
    <cellStyle name="Currency 5 2 6 6 2 2" xfId="16269" xr:uid="{70BAFC56-6CD3-47EF-A11E-D073D5F27B00}"/>
    <cellStyle name="Currency 5 2 6 6 3" xfId="11986" xr:uid="{5BCF0DB4-D58C-4482-8C88-3E616342B887}"/>
    <cellStyle name="Currency 5 2 6 7" xfId="2691" xr:uid="{00000000-0005-0000-0000-0000AA0A0000}"/>
    <cellStyle name="Currency 5 2 6 7 2" xfId="12283" xr:uid="{114AD1FF-0A0A-4777-B559-288E25098686}"/>
    <cellStyle name="Currency 5 2 6 8" xfId="2772" xr:uid="{00000000-0005-0000-0000-0000FB0A0000}"/>
    <cellStyle name="Currency 5 2 6 8 2" xfId="6995" xr:uid="{00000000-0005-0000-0000-00007A1B0000}"/>
    <cellStyle name="Currency 5 2 6 8 2 2" xfId="16586" xr:uid="{6D4C1478-7D00-4BAE-865F-A7507A5E5B94}"/>
    <cellStyle name="Currency 5 2 6 8 3" xfId="12364" xr:uid="{9BA61D29-27DD-4A14-9BF7-BAE81087D63A}"/>
    <cellStyle name="Currency 5 2 6 9" xfId="4612" xr:uid="{00000000-0005-0000-0000-00002B120000}"/>
    <cellStyle name="Currency 5 2 6 9 2" xfId="14203" xr:uid="{647A3BBA-29EA-4A63-8761-FC3F7E51A7EE}"/>
    <cellStyle name="Currency 5 2 7" xfId="683" xr:uid="{00000000-0005-0000-0000-0000D2020000}"/>
    <cellStyle name="Currency 5 2 7 2" xfId="10276" xr:uid="{70C94028-8161-4DD7-B24C-672C49044E1A}"/>
    <cellStyle name="Currency 5 2 8" xfId="8717" xr:uid="{00000000-0005-0000-0000-000034220000}"/>
    <cellStyle name="Currency 5 2 9" xfId="9779" xr:uid="{37580774-4ADB-496A-AAE1-FC1FF1C9976D}"/>
    <cellStyle name="Currency 5 3" xfId="182" xr:uid="{00000000-0005-0000-0000-0000D1000000}"/>
    <cellStyle name="Currency 5 3 2" xfId="183" xr:uid="{00000000-0005-0000-0000-0000D2000000}"/>
    <cellStyle name="Currency 5 3 2 10" xfId="2773" xr:uid="{00000000-0005-0000-0000-0000FC0A0000}"/>
    <cellStyle name="Currency 5 3 2 10 2" xfId="6996" xr:uid="{00000000-0005-0000-0000-00007B1B0000}"/>
    <cellStyle name="Currency 5 3 2 10 2 2" xfId="16587" xr:uid="{37BE8A65-8868-4806-B46A-8EBED75AA5C7}"/>
    <cellStyle name="Currency 5 3 2 10 3" xfId="12365" xr:uid="{4595EA50-A4DE-4CEE-ABC5-15A0A187A536}"/>
    <cellStyle name="Currency 5 3 2 11" xfId="4613" xr:uid="{00000000-0005-0000-0000-00002C120000}"/>
    <cellStyle name="Currency 5 3 2 11 2" xfId="14204" xr:uid="{7CAA8AFC-5209-4CA3-AA93-32C82172FDFB}"/>
    <cellStyle name="Currency 5 3 2 12" xfId="8771" xr:uid="{00000000-0005-0000-0000-00006A220000}"/>
    <cellStyle name="Currency 5 3 2 13" xfId="9795" xr:uid="{3524282D-3955-424E-B6D7-F1E76F1D5EBA}"/>
    <cellStyle name="Currency 5 3 2 2" xfId="184" xr:uid="{00000000-0005-0000-0000-0000D3000000}"/>
    <cellStyle name="Currency 5 3 2 2 10" xfId="4614" xr:uid="{00000000-0005-0000-0000-00002D120000}"/>
    <cellStyle name="Currency 5 3 2 2 10 2" xfId="14205" xr:uid="{BF9F7D00-D599-469A-90BC-B12876D7627E}"/>
    <cellStyle name="Currency 5 3 2 2 11" xfId="8874" xr:uid="{00000000-0005-0000-0000-0000D1220000}"/>
    <cellStyle name="Currency 5 3 2 2 12" xfId="9796" xr:uid="{C2F3F96F-EACA-47C0-BFF7-367ABF577E18}"/>
    <cellStyle name="Currency 5 3 2 2 2" xfId="185" xr:uid="{00000000-0005-0000-0000-0000D4000000}"/>
    <cellStyle name="Currency 5 3 2 2 2 10" xfId="9081" xr:uid="{00000000-0005-0000-0000-0000A0230000}"/>
    <cellStyle name="Currency 5 3 2 2 2 11" xfId="9797" xr:uid="{4F8C98A2-8ABA-4B93-B017-08F89B9F33E7}"/>
    <cellStyle name="Currency 5 3 2 2 2 2" xfId="699" xr:uid="{00000000-0005-0000-0000-0000E2020000}"/>
    <cellStyle name="Currency 5 3 2 2 2 2 2" xfId="2952" xr:uid="{00000000-0005-0000-0000-0000AF0B0000}"/>
    <cellStyle name="Currency 5 3 2 2 2 2 2 2" xfId="7174" xr:uid="{00000000-0005-0000-0000-00002D1C0000}"/>
    <cellStyle name="Currency 5 3 2 2 2 2 2 2 2" xfId="16765" xr:uid="{8754482A-00F4-48D0-8CF6-9423B7E1BCC4}"/>
    <cellStyle name="Currency 5 3 2 2 2 2 2 3" xfId="12544" xr:uid="{D2D92A4D-BCEB-436F-AC19-22C062E7BA62}"/>
    <cellStyle name="Currency 5 3 2 2 2 2 3" xfId="5029" xr:uid="{00000000-0005-0000-0000-0000CC130000}"/>
    <cellStyle name="Currency 5 3 2 2 2 2 3 2" xfId="14620" xr:uid="{A2ED9146-638E-4B5C-980F-06063CCDF697}"/>
    <cellStyle name="Currency 5 3 2 2 2 2 4" xfId="9506" xr:uid="{00000000-0005-0000-0000-000049250000}"/>
    <cellStyle name="Currency 5 3 2 2 2 2 5" xfId="10292" xr:uid="{9EFC7BF3-6238-4420-ACFF-BDB6DEFB39E6}"/>
    <cellStyle name="Currency 5 3 2 2 2 3" xfId="1134" xr:uid="{00000000-0005-0000-0000-000095040000}"/>
    <cellStyle name="Currency 5 3 2 2 2 3 2" xfId="3365" xr:uid="{00000000-0005-0000-0000-00004C0D0000}"/>
    <cellStyle name="Currency 5 3 2 2 2 3 2 2" xfId="7587" xr:uid="{00000000-0005-0000-0000-0000CA1D0000}"/>
    <cellStyle name="Currency 5 3 2 2 2 3 2 2 2" xfId="17178" xr:uid="{1DB33DCA-1033-4C1C-9C62-8CFA1C5C16C4}"/>
    <cellStyle name="Currency 5 3 2 2 2 3 2 3" xfId="12957" xr:uid="{2EE804A8-F9F1-48A5-B04A-08BE813FEA5A}"/>
    <cellStyle name="Currency 5 3 2 2 2 3 3" xfId="5442" xr:uid="{00000000-0005-0000-0000-000069150000}"/>
    <cellStyle name="Currency 5 3 2 2 2 3 3 2" xfId="15033" xr:uid="{715FF45D-BFA9-4BBF-BC5B-3F5462E9E02E}"/>
    <cellStyle name="Currency 5 3 2 2 2 3 4" xfId="10727" xr:uid="{0D4F1F61-320F-4428-83A1-D3702F12F57D}"/>
    <cellStyle name="Currency 5 3 2 2 2 4" xfId="1548" xr:uid="{00000000-0005-0000-0000-000033060000}"/>
    <cellStyle name="Currency 5 3 2 2 2 4 2" xfId="3778" xr:uid="{00000000-0005-0000-0000-0000E90E0000}"/>
    <cellStyle name="Currency 5 3 2 2 2 4 2 2" xfId="8000" xr:uid="{00000000-0005-0000-0000-0000671F0000}"/>
    <cellStyle name="Currency 5 3 2 2 2 4 2 2 2" xfId="17591" xr:uid="{F2C9DECA-0D61-417F-B75F-F15677386EA9}"/>
    <cellStyle name="Currency 5 3 2 2 2 4 2 3" xfId="13370" xr:uid="{09C8E0ED-D158-4507-8BC6-008295B72898}"/>
    <cellStyle name="Currency 5 3 2 2 2 4 3" xfId="5855" xr:uid="{00000000-0005-0000-0000-000006170000}"/>
    <cellStyle name="Currency 5 3 2 2 2 4 3 2" xfId="15446" xr:uid="{0018EF3E-B4A8-4743-9B9D-0F95F5B3CECA}"/>
    <cellStyle name="Currency 5 3 2 2 2 4 4" xfId="11141" xr:uid="{06AEBDE8-D2DD-4515-85B6-C3411D0094D3}"/>
    <cellStyle name="Currency 5 3 2 2 2 5" xfId="1962" xr:uid="{00000000-0005-0000-0000-0000D1070000}"/>
    <cellStyle name="Currency 5 3 2 2 2 5 2" xfId="4191" xr:uid="{00000000-0005-0000-0000-000086100000}"/>
    <cellStyle name="Currency 5 3 2 2 2 5 2 2" xfId="8413" xr:uid="{00000000-0005-0000-0000-000004210000}"/>
    <cellStyle name="Currency 5 3 2 2 2 5 2 2 2" xfId="18004" xr:uid="{F032E7FE-70FE-4CAC-8A4E-4E619747E71D}"/>
    <cellStyle name="Currency 5 3 2 2 2 5 2 3" xfId="13783" xr:uid="{957AFF27-CB12-49D8-8683-B1328DFC09C1}"/>
    <cellStyle name="Currency 5 3 2 2 2 5 3" xfId="6268" xr:uid="{00000000-0005-0000-0000-0000A3180000}"/>
    <cellStyle name="Currency 5 3 2 2 2 5 3 2" xfId="15859" xr:uid="{7253615A-37EA-4FE3-AF13-D77237F270BF}"/>
    <cellStyle name="Currency 5 3 2 2 2 5 4" xfId="11554" xr:uid="{8F58ED1B-546F-4D07-BE13-07B02CEF8E59}"/>
    <cellStyle name="Currency 5 3 2 2 2 6" xfId="2397" xr:uid="{00000000-0005-0000-0000-000084090000}"/>
    <cellStyle name="Currency 5 3 2 2 2 6 2" xfId="6681" xr:uid="{00000000-0005-0000-0000-0000401A0000}"/>
    <cellStyle name="Currency 5 3 2 2 2 6 2 2" xfId="16272" xr:uid="{406A33A7-079B-443E-9E2A-75793D2489F5}"/>
    <cellStyle name="Currency 5 3 2 2 2 6 3" xfId="11989" xr:uid="{78D5A65F-5086-44F3-80BE-CD423F537C49}"/>
    <cellStyle name="Currency 5 3 2 2 2 7" xfId="2694" xr:uid="{00000000-0005-0000-0000-0000AD0A0000}"/>
    <cellStyle name="Currency 5 3 2 2 2 7 2" xfId="12286" xr:uid="{F4555219-47AB-4038-8E0D-34691DF2CD98}"/>
    <cellStyle name="Currency 5 3 2 2 2 8" xfId="2775" xr:uid="{00000000-0005-0000-0000-0000FE0A0000}"/>
    <cellStyle name="Currency 5 3 2 2 2 8 2" xfId="6998" xr:uid="{00000000-0005-0000-0000-00007D1B0000}"/>
    <cellStyle name="Currency 5 3 2 2 2 8 2 2" xfId="16589" xr:uid="{B628B3C5-3F32-4111-A316-C7F9B1130DE1}"/>
    <cellStyle name="Currency 5 3 2 2 2 8 3" xfId="12367" xr:uid="{3E695CDB-7D2F-4FF3-830D-68A4E80EE0FC}"/>
    <cellStyle name="Currency 5 3 2 2 2 9" xfId="4615" xr:uid="{00000000-0005-0000-0000-00002E120000}"/>
    <cellStyle name="Currency 5 3 2 2 2 9 2" xfId="14206" xr:uid="{C23F5781-0A1E-4B42-BB5F-D38F5F6432FD}"/>
    <cellStyle name="Currency 5 3 2 2 3" xfId="698" xr:uid="{00000000-0005-0000-0000-0000E1020000}"/>
    <cellStyle name="Currency 5 3 2 2 3 2" xfId="2951" xr:uid="{00000000-0005-0000-0000-0000AE0B0000}"/>
    <cellStyle name="Currency 5 3 2 2 3 2 2" xfId="7173" xr:uid="{00000000-0005-0000-0000-00002C1C0000}"/>
    <cellStyle name="Currency 5 3 2 2 3 2 2 2" xfId="16764" xr:uid="{97D9BB66-C71D-44C1-997F-BC90F613CAD4}"/>
    <cellStyle name="Currency 5 3 2 2 3 2 3" xfId="12543" xr:uid="{A0D09828-7E5D-4336-9A4C-BC32C422DE39}"/>
    <cellStyle name="Currency 5 3 2 2 3 3" xfId="5028" xr:uid="{00000000-0005-0000-0000-0000CB130000}"/>
    <cellStyle name="Currency 5 3 2 2 3 3 2" xfId="14619" xr:uid="{FE3862BD-B920-4AF9-8FFF-0318A1A63883}"/>
    <cellStyle name="Currency 5 3 2 2 3 4" xfId="9299" xr:uid="{00000000-0005-0000-0000-00007A240000}"/>
    <cellStyle name="Currency 5 3 2 2 3 5" xfId="10291" xr:uid="{65B863EA-8EEB-43B7-BAC7-0ECE6E227FCC}"/>
    <cellStyle name="Currency 5 3 2 2 4" xfId="1133" xr:uid="{00000000-0005-0000-0000-000094040000}"/>
    <cellStyle name="Currency 5 3 2 2 4 2" xfId="3364" xr:uid="{00000000-0005-0000-0000-00004B0D0000}"/>
    <cellStyle name="Currency 5 3 2 2 4 2 2" xfId="7586" xr:uid="{00000000-0005-0000-0000-0000C91D0000}"/>
    <cellStyle name="Currency 5 3 2 2 4 2 2 2" xfId="17177" xr:uid="{2A099B69-CDE3-40F5-92A3-0DAB7C35D07D}"/>
    <cellStyle name="Currency 5 3 2 2 4 2 3" xfId="12956" xr:uid="{D6C2E64F-F00A-4BC8-867B-8F8F12D9EDB3}"/>
    <cellStyle name="Currency 5 3 2 2 4 3" xfId="5441" xr:uid="{00000000-0005-0000-0000-000068150000}"/>
    <cellStyle name="Currency 5 3 2 2 4 3 2" xfId="15032" xr:uid="{F2608737-A51D-4717-854E-A902C5DB6276}"/>
    <cellStyle name="Currency 5 3 2 2 4 4" xfId="10726" xr:uid="{B41FE22E-6ABA-4F23-850A-4C0873604348}"/>
    <cellStyle name="Currency 5 3 2 2 5" xfId="1547" xr:uid="{00000000-0005-0000-0000-000032060000}"/>
    <cellStyle name="Currency 5 3 2 2 5 2" xfId="3777" xr:uid="{00000000-0005-0000-0000-0000E80E0000}"/>
    <cellStyle name="Currency 5 3 2 2 5 2 2" xfId="7999" xr:uid="{00000000-0005-0000-0000-0000661F0000}"/>
    <cellStyle name="Currency 5 3 2 2 5 2 2 2" xfId="17590" xr:uid="{9A0FC66C-40E3-4C85-BAD4-7E0170A00C8B}"/>
    <cellStyle name="Currency 5 3 2 2 5 2 3" xfId="13369" xr:uid="{BD536E82-F0BC-44AD-B8F8-5F4915CFF347}"/>
    <cellStyle name="Currency 5 3 2 2 5 3" xfId="5854" xr:uid="{00000000-0005-0000-0000-000005170000}"/>
    <cellStyle name="Currency 5 3 2 2 5 3 2" xfId="15445" xr:uid="{36AA55F1-E2DF-4FAB-B96A-7E93F4BCB3C8}"/>
    <cellStyle name="Currency 5 3 2 2 5 4" xfId="11140" xr:uid="{CBD0A39D-071E-4414-9C08-E383C5228A5B}"/>
    <cellStyle name="Currency 5 3 2 2 6" xfId="1961" xr:uid="{00000000-0005-0000-0000-0000D0070000}"/>
    <cellStyle name="Currency 5 3 2 2 6 2" xfId="4190" xr:uid="{00000000-0005-0000-0000-000085100000}"/>
    <cellStyle name="Currency 5 3 2 2 6 2 2" xfId="8412" xr:uid="{00000000-0005-0000-0000-000003210000}"/>
    <cellStyle name="Currency 5 3 2 2 6 2 2 2" xfId="18003" xr:uid="{2217D22D-921E-4810-A576-3FAA1B9DF75D}"/>
    <cellStyle name="Currency 5 3 2 2 6 2 3" xfId="13782" xr:uid="{C8DE9AC0-8A9F-407B-950D-6953D279D242}"/>
    <cellStyle name="Currency 5 3 2 2 6 3" xfId="6267" xr:uid="{00000000-0005-0000-0000-0000A2180000}"/>
    <cellStyle name="Currency 5 3 2 2 6 3 2" xfId="15858" xr:uid="{1DFFB052-CD32-491E-807C-D677769A2AA5}"/>
    <cellStyle name="Currency 5 3 2 2 6 4" xfId="11553" xr:uid="{55E3AD21-F83A-46EA-AA44-72221D10707F}"/>
    <cellStyle name="Currency 5 3 2 2 7" xfId="2396" xr:uid="{00000000-0005-0000-0000-000083090000}"/>
    <cellStyle name="Currency 5 3 2 2 7 2" xfId="6680" xr:uid="{00000000-0005-0000-0000-00003F1A0000}"/>
    <cellStyle name="Currency 5 3 2 2 7 2 2" xfId="16271" xr:uid="{4643D249-50D3-40E2-8737-AA82E83B8097}"/>
    <cellStyle name="Currency 5 3 2 2 7 3" xfId="11988" xr:uid="{2A47E135-1BB4-4DD5-AD8E-342E8F87A6E3}"/>
    <cellStyle name="Currency 5 3 2 2 8" xfId="2693" xr:uid="{00000000-0005-0000-0000-0000AC0A0000}"/>
    <cellStyle name="Currency 5 3 2 2 8 2" xfId="12285" xr:uid="{73996268-4CAB-4B25-AA5B-5E8AECC588CA}"/>
    <cellStyle name="Currency 5 3 2 2 9" xfId="2774" xr:uid="{00000000-0005-0000-0000-0000FD0A0000}"/>
    <cellStyle name="Currency 5 3 2 2 9 2" xfId="6997" xr:uid="{00000000-0005-0000-0000-00007C1B0000}"/>
    <cellStyle name="Currency 5 3 2 2 9 2 2" xfId="16588" xr:uid="{512CAF9B-82E0-4805-BCF9-C5D0F4407EAD}"/>
    <cellStyle name="Currency 5 3 2 2 9 3" xfId="12366" xr:uid="{8C579502-BFB8-4083-BFA1-55B261FB7256}"/>
    <cellStyle name="Currency 5 3 2 3" xfId="186" xr:uid="{00000000-0005-0000-0000-0000D5000000}"/>
    <cellStyle name="Currency 5 3 2 3 10" xfId="8978" xr:uid="{00000000-0005-0000-0000-000039230000}"/>
    <cellStyle name="Currency 5 3 2 3 11" xfId="9798" xr:uid="{3D873A1E-AE1D-4EF2-BBD0-D8BE786E5580}"/>
    <cellStyle name="Currency 5 3 2 3 2" xfId="700" xr:uid="{00000000-0005-0000-0000-0000E3020000}"/>
    <cellStyle name="Currency 5 3 2 3 2 2" xfId="2953" xr:uid="{00000000-0005-0000-0000-0000B00B0000}"/>
    <cellStyle name="Currency 5 3 2 3 2 2 2" xfId="7175" xr:uid="{00000000-0005-0000-0000-00002E1C0000}"/>
    <cellStyle name="Currency 5 3 2 3 2 2 2 2" xfId="16766" xr:uid="{3E303DA6-F028-426F-9266-95FB9B1AE9F4}"/>
    <cellStyle name="Currency 5 3 2 3 2 2 3" xfId="12545" xr:uid="{A09B52ED-FD14-4133-A2A8-54E6D16872A9}"/>
    <cellStyle name="Currency 5 3 2 3 2 3" xfId="5030" xr:uid="{00000000-0005-0000-0000-0000CD130000}"/>
    <cellStyle name="Currency 5 3 2 3 2 3 2" xfId="14621" xr:uid="{8682FF92-E318-4469-B792-67777EC1809B}"/>
    <cellStyle name="Currency 5 3 2 3 2 4" xfId="9403" xr:uid="{00000000-0005-0000-0000-0000E2240000}"/>
    <cellStyle name="Currency 5 3 2 3 2 5" xfId="10293" xr:uid="{FCD379B4-42A1-45E8-BB8C-2D1EEB62170F}"/>
    <cellStyle name="Currency 5 3 2 3 3" xfId="1135" xr:uid="{00000000-0005-0000-0000-000096040000}"/>
    <cellStyle name="Currency 5 3 2 3 3 2" xfId="3366" xr:uid="{00000000-0005-0000-0000-00004D0D0000}"/>
    <cellStyle name="Currency 5 3 2 3 3 2 2" xfId="7588" xr:uid="{00000000-0005-0000-0000-0000CB1D0000}"/>
    <cellStyle name="Currency 5 3 2 3 3 2 2 2" xfId="17179" xr:uid="{D59D1582-0B1A-4290-BCB5-E4ADA21734CF}"/>
    <cellStyle name="Currency 5 3 2 3 3 2 3" xfId="12958" xr:uid="{4A20A1BC-94DF-49E8-8DAC-9D3FED090F62}"/>
    <cellStyle name="Currency 5 3 2 3 3 3" xfId="5443" xr:uid="{00000000-0005-0000-0000-00006A150000}"/>
    <cellStyle name="Currency 5 3 2 3 3 3 2" xfId="15034" xr:uid="{DF357761-6E2F-4F13-BA09-97F62515D58C}"/>
    <cellStyle name="Currency 5 3 2 3 3 4" xfId="10728" xr:uid="{19B48D95-51F9-4EF1-B123-DC955B202CEF}"/>
    <cellStyle name="Currency 5 3 2 3 4" xfId="1549" xr:uid="{00000000-0005-0000-0000-000034060000}"/>
    <cellStyle name="Currency 5 3 2 3 4 2" xfId="3779" xr:uid="{00000000-0005-0000-0000-0000EA0E0000}"/>
    <cellStyle name="Currency 5 3 2 3 4 2 2" xfId="8001" xr:uid="{00000000-0005-0000-0000-0000681F0000}"/>
    <cellStyle name="Currency 5 3 2 3 4 2 2 2" xfId="17592" xr:uid="{9A2FE598-E6A0-4782-A2EB-8E273013631D}"/>
    <cellStyle name="Currency 5 3 2 3 4 2 3" xfId="13371" xr:uid="{CF2CB87C-AF25-4C0E-A37D-B0A7DAE570D1}"/>
    <cellStyle name="Currency 5 3 2 3 4 3" xfId="5856" xr:uid="{00000000-0005-0000-0000-000007170000}"/>
    <cellStyle name="Currency 5 3 2 3 4 3 2" xfId="15447" xr:uid="{0055EA9C-7D9F-4129-A14E-79EAD0DBC609}"/>
    <cellStyle name="Currency 5 3 2 3 4 4" xfId="11142" xr:uid="{CDACDBF6-1D89-4408-B972-6075DB0CA7BB}"/>
    <cellStyle name="Currency 5 3 2 3 5" xfId="1963" xr:uid="{00000000-0005-0000-0000-0000D2070000}"/>
    <cellStyle name="Currency 5 3 2 3 5 2" xfId="4192" xr:uid="{00000000-0005-0000-0000-000087100000}"/>
    <cellStyle name="Currency 5 3 2 3 5 2 2" xfId="8414" xr:uid="{00000000-0005-0000-0000-000005210000}"/>
    <cellStyle name="Currency 5 3 2 3 5 2 2 2" xfId="18005" xr:uid="{26B9E379-D37B-4D90-8C74-5524E6A1B2E6}"/>
    <cellStyle name="Currency 5 3 2 3 5 2 3" xfId="13784" xr:uid="{C1A155D5-6BAA-4DE8-B70C-AE29F41159BC}"/>
    <cellStyle name="Currency 5 3 2 3 5 3" xfId="6269" xr:uid="{00000000-0005-0000-0000-0000A4180000}"/>
    <cellStyle name="Currency 5 3 2 3 5 3 2" xfId="15860" xr:uid="{B4B089B8-DAC0-4E5C-9D16-4313BC92803E}"/>
    <cellStyle name="Currency 5 3 2 3 5 4" xfId="11555" xr:uid="{8E734DA0-A224-43BC-ABD5-8189AD83497F}"/>
    <cellStyle name="Currency 5 3 2 3 6" xfId="2398" xr:uid="{00000000-0005-0000-0000-000085090000}"/>
    <cellStyle name="Currency 5 3 2 3 6 2" xfId="6682" xr:uid="{00000000-0005-0000-0000-0000411A0000}"/>
    <cellStyle name="Currency 5 3 2 3 6 2 2" xfId="16273" xr:uid="{5CADAD10-C131-43C0-B54A-E851C2E5C7AE}"/>
    <cellStyle name="Currency 5 3 2 3 6 3" xfId="11990" xr:uid="{E92E9E27-3A4E-4A54-8CA9-DAAD187B82F6}"/>
    <cellStyle name="Currency 5 3 2 3 7" xfId="2695" xr:uid="{00000000-0005-0000-0000-0000AE0A0000}"/>
    <cellStyle name="Currency 5 3 2 3 7 2" xfId="12287" xr:uid="{C3AA7EFC-D3AE-46A4-B7BA-94D1AE7D5A13}"/>
    <cellStyle name="Currency 5 3 2 3 8" xfId="2776" xr:uid="{00000000-0005-0000-0000-0000FF0A0000}"/>
    <cellStyle name="Currency 5 3 2 3 8 2" xfId="6999" xr:uid="{00000000-0005-0000-0000-00007E1B0000}"/>
    <cellStyle name="Currency 5 3 2 3 8 2 2" xfId="16590" xr:uid="{8156A5C4-29DC-4023-8884-2F6C403D83CC}"/>
    <cellStyle name="Currency 5 3 2 3 8 3" xfId="12368" xr:uid="{C9E7BE25-2123-490F-972C-B9A998E5473A}"/>
    <cellStyle name="Currency 5 3 2 3 9" xfId="4616" xr:uid="{00000000-0005-0000-0000-00002F120000}"/>
    <cellStyle name="Currency 5 3 2 3 9 2" xfId="14207" xr:uid="{7C3FCD3E-C5B4-4088-9A0B-1E5D305A933C}"/>
    <cellStyle name="Currency 5 3 2 4" xfId="697" xr:uid="{00000000-0005-0000-0000-0000E0020000}"/>
    <cellStyle name="Currency 5 3 2 4 2" xfId="2950" xr:uid="{00000000-0005-0000-0000-0000AD0B0000}"/>
    <cellStyle name="Currency 5 3 2 4 2 2" xfId="7172" xr:uid="{00000000-0005-0000-0000-00002B1C0000}"/>
    <cellStyle name="Currency 5 3 2 4 2 2 2" xfId="16763" xr:uid="{8407F28C-0825-4479-9419-788C36734A34}"/>
    <cellStyle name="Currency 5 3 2 4 2 3" xfId="12542" xr:uid="{74A8F320-1237-4A20-8532-A1FABE0E2720}"/>
    <cellStyle name="Currency 5 3 2 4 3" xfId="5027" xr:uid="{00000000-0005-0000-0000-0000CA130000}"/>
    <cellStyle name="Currency 5 3 2 4 3 2" xfId="14618" xr:uid="{23661F9D-A02A-454F-A362-D31FDF60B61C}"/>
    <cellStyle name="Currency 5 3 2 4 4" xfId="9196" xr:uid="{00000000-0005-0000-0000-000013240000}"/>
    <cellStyle name="Currency 5 3 2 4 5" xfId="10290" xr:uid="{7D1105BD-A0B5-4EE2-A53D-ABBE7D3A1FA7}"/>
    <cellStyle name="Currency 5 3 2 5" xfId="1132" xr:uid="{00000000-0005-0000-0000-000093040000}"/>
    <cellStyle name="Currency 5 3 2 5 2" xfId="3363" xr:uid="{00000000-0005-0000-0000-00004A0D0000}"/>
    <cellStyle name="Currency 5 3 2 5 2 2" xfId="7585" xr:uid="{00000000-0005-0000-0000-0000C81D0000}"/>
    <cellStyle name="Currency 5 3 2 5 2 2 2" xfId="17176" xr:uid="{84E8C872-31F9-4B65-8F68-0487CB3E6655}"/>
    <cellStyle name="Currency 5 3 2 5 2 3" xfId="12955" xr:uid="{851DB704-DAC6-466C-81C1-A31C662ACF8F}"/>
    <cellStyle name="Currency 5 3 2 5 3" xfId="5440" xr:uid="{00000000-0005-0000-0000-000067150000}"/>
    <cellStyle name="Currency 5 3 2 5 3 2" xfId="15031" xr:uid="{1B31DC26-2DD4-47BD-9743-1392CDE6EDA4}"/>
    <cellStyle name="Currency 5 3 2 5 4" xfId="10725" xr:uid="{2219D773-A000-459A-942C-D252E9968562}"/>
    <cellStyle name="Currency 5 3 2 6" xfId="1546" xr:uid="{00000000-0005-0000-0000-000031060000}"/>
    <cellStyle name="Currency 5 3 2 6 2" xfId="3776" xr:uid="{00000000-0005-0000-0000-0000E70E0000}"/>
    <cellStyle name="Currency 5 3 2 6 2 2" xfId="7998" xr:uid="{00000000-0005-0000-0000-0000651F0000}"/>
    <cellStyle name="Currency 5 3 2 6 2 2 2" xfId="17589" xr:uid="{20D49C78-3BEF-4B95-9509-4EAC51DEE759}"/>
    <cellStyle name="Currency 5 3 2 6 2 3" xfId="13368" xr:uid="{89C5B3C4-7E4D-4421-9777-519DF9052CC4}"/>
    <cellStyle name="Currency 5 3 2 6 3" xfId="5853" xr:uid="{00000000-0005-0000-0000-000004170000}"/>
    <cellStyle name="Currency 5 3 2 6 3 2" xfId="15444" xr:uid="{009A58A3-A9AA-4EAE-B7F9-A20B55A3D802}"/>
    <cellStyle name="Currency 5 3 2 6 4" xfId="11139" xr:uid="{9EFD9B24-5DE5-409B-B386-B2F6318058E3}"/>
    <cellStyle name="Currency 5 3 2 7" xfId="1960" xr:uid="{00000000-0005-0000-0000-0000CF070000}"/>
    <cellStyle name="Currency 5 3 2 7 2" xfId="4189" xr:uid="{00000000-0005-0000-0000-000084100000}"/>
    <cellStyle name="Currency 5 3 2 7 2 2" xfId="8411" xr:uid="{00000000-0005-0000-0000-000002210000}"/>
    <cellStyle name="Currency 5 3 2 7 2 2 2" xfId="18002" xr:uid="{5A815583-A261-419A-AD6A-E3FA6DBCE02D}"/>
    <cellStyle name="Currency 5 3 2 7 2 3" xfId="13781" xr:uid="{24D47F51-81F2-432F-B725-6E8B0903FF23}"/>
    <cellStyle name="Currency 5 3 2 7 3" xfId="6266" xr:uid="{00000000-0005-0000-0000-0000A1180000}"/>
    <cellStyle name="Currency 5 3 2 7 3 2" xfId="15857" xr:uid="{39A18124-F025-4EEF-AC0C-594F3077F828}"/>
    <cellStyle name="Currency 5 3 2 7 4" xfId="11552" xr:uid="{C3143292-5320-41EA-BA0B-FCA995CDF340}"/>
    <cellStyle name="Currency 5 3 2 8" xfId="2395" xr:uid="{00000000-0005-0000-0000-000082090000}"/>
    <cellStyle name="Currency 5 3 2 8 2" xfId="6679" xr:uid="{00000000-0005-0000-0000-00003E1A0000}"/>
    <cellStyle name="Currency 5 3 2 8 2 2" xfId="16270" xr:uid="{E615BBE6-DD07-4EDD-A73A-84C5070A4A18}"/>
    <cellStyle name="Currency 5 3 2 8 3" xfId="11987" xr:uid="{38E25E3B-12E1-4007-8D63-98983902D27C}"/>
    <cellStyle name="Currency 5 3 2 9" xfId="2692" xr:uid="{00000000-0005-0000-0000-0000AB0A0000}"/>
    <cellStyle name="Currency 5 3 2 9 2" xfId="12284" xr:uid="{AFCAC036-9AE7-4CB5-AA96-FE9816F94726}"/>
    <cellStyle name="Currency 5 3 3" xfId="187" xr:uid="{00000000-0005-0000-0000-0000D6000000}"/>
    <cellStyle name="Currency 5 3 3 10" xfId="4617" xr:uid="{00000000-0005-0000-0000-000030120000}"/>
    <cellStyle name="Currency 5 3 3 10 2" xfId="14208" xr:uid="{841B6352-BCD0-487C-B97C-1701A2D7C2DE}"/>
    <cellStyle name="Currency 5 3 3 11" xfId="8843" xr:uid="{00000000-0005-0000-0000-0000B2220000}"/>
    <cellStyle name="Currency 5 3 3 12" xfId="9799" xr:uid="{AE69769A-EAD4-4ABB-8E1A-563EF6038CB4}"/>
    <cellStyle name="Currency 5 3 3 2" xfId="188" xr:uid="{00000000-0005-0000-0000-0000D7000000}"/>
    <cellStyle name="Currency 5 3 3 2 10" xfId="9050" xr:uid="{00000000-0005-0000-0000-000081230000}"/>
    <cellStyle name="Currency 5 3 3 2 11" xfId="9800" xr:uid="{D35C3FB6-3A9B-4888-999B-2B071FA75499}"/>
    <cellStyle name="Currency 5 3 3 2 2" xfId="702" xr:uid="{00000000-0005-0000-0000-0000E5020000}"/>
    <cellStyle name="Currency 5 3 3 2 2 2" xfId="2955" xr:uid="{00000000-0005-0000-0000-0000B20B0000}"/>
    <cellStyle name="Currency 5 3 3 2 2 2 2" xfId="7177" xr:uid="{00000000-0005-0000-0000-0000301C0000}"/>
    <cellStyle name="Currency 5 3 3 2 2 2 2 2" xfId="16768" xr:uid="{B48E7B83-843E-468C-AAAF-EBA915A9B415}"/>
    <cellStyle name="Currency 5 3 3 2 2 2 3" xfId="12547" xr:uid="{DF5B8D01-E68B-4E8E-8F26-AF18FC4EE39B}"/>
    <cellStyle name="Currency 5 3 3 2 2 3" xfId="5032" xr:uid="{00000000-0005-0000-0000-0000CF130000}"/>
    <cellStyle name="Currency 5 3 3 2 2 3 2" xfId="14623" xr:uid="{9AE4F1E7-B732-4E61-92B9-C85623356667}"/>
    <cellStyle name="Currency 5 3 3 2 2 4" xfId="9475" xr:uid="{00000000-0005-0000-0000-00002A250000}"/>
    <cellStyle name="Currency 5 3 3 2 2 5" xfId="10295" xr:uid="{213A282B-AA28-4CC5-85A3-7291E46ACC55}"/>
    <cellStyle name="Currency 5 3 3 2 3" xfId="1137" xr:uid="{00000000-0005-0000-0000-000098040000}"/>
    <cellStyle name="Currency 5 3 3 2 3 2" xfId="3368" xr:uid="{00000000-0005-0000-0000-00004F0D0000}"/>
    <cellStyle name="Currency 5 3 3 2 3 2 2" xfId="7590" xr:uid="{00000000-0005-0000-0000-0000CD1D0000}"/>
    <cellStyle name="Currency 5 3 3 2 3 2 2 2" xfId="17181" xr:uid="{9CDE6078-9A4B-4195-ADEA-A379015C4262}"/>
    <cellStyle name="Currency 5 3 3 2 3 2 3" xfId="12960" xr:uid="{96E48C3F-C1FD-42D8-9962-96B8CE8EFAFD}"/>
    <cellStyle name="Currency 5 3 3 2 3 3" xfId="5445" xr:uid="{00000000-0005-0000-0000-00006C150000}"/>
    <cellStyle name="Currency 5 3 3 2 3 3 2" xfId="15036" xr:uid="{38EFB248-8CB9-4FF5-9B71-021DA96494D6}"/>
    <cellStyle name="Currency 5 3 3 2 3 4" xfId="10730" xr:uid="{C019218E-C73F-47F1-A292-7D0D75A984A7}"/>
    <cellStyle name="Currency 5 3 3 2 4" xfId="1551" xr:uid="{00000000-0005-0000-0000-000036060000}"/>
    <cellStyle name="Currency 5 3 3 2 4 2" xfId="3781" xr:uid="{00000000-0005-0000-0000-0000EC0E0000}"/>
    <cellStyle name="Currency 5 3 3 2 4 2 2" xfId="8003" xr:uid="{00000000-0005-0000-0000-00006A1F0000}"/>
    <cellStyle name="Currency 5 3 3 2 4 2 2 2" xfId="17594" xr:uid="{8375EC49-EF63-4057-A830-306BCBD54D4C}"/>
    <cellStyle name="Currency 5 3 3 2 4 2 3" xfId="13373" xr:uid="{DA47D03C-32BC-4258-AFB1-52619AB6BF5C}"/>
    <cellStyle name="Currency 5 3 3 2 4 3" xfId="5858" xr:uid="{00000000-0005-0000-0000-000009170000}"/>
    <cellStyle name="Currency 5 3 3 2 4 3 2" xfId="15449" xr:uid="{F2C1BCFB-F65D-4AB8-93DE-57D4CDA8D9F2}"/>
    <cellStyle name="Currency 5 3 3 2 4 4" xfId="11144" xr:uid="{812A67D4-5143-4E04-8159-ECAE680F245A}"/>
    <cellStyle name="Currency 5 3 3 2 5" xfId="1965" xr:uid="{00000000-0005-0000-0000-0000D4070000}"/>
    <cellStyle name="Currency 5 3 3 2 5 2" xfId="4194" xr:uid="{00000000-0005-0000-0000-000089100000}"/>
    <cellStyle name="Currency 5 3 3 2 5 2 2" xfId="8416" xr:uid="{00000000-0005-0000-0000-000007210000}"/>
    <cellStyle name="Currency 5 3 3 2 5 2 2 2" xfId="18007" xr:uid="{787ABB79-4773-4A1D-9AF7-D7EE46158B6B}"/>
    <cellStyle name="Currency 5 3 3 2 5 2 3" xfId="13786" xr:uid="{971AE087-CB54-430E-92ED-042E9FBB4E3B}"/>
    <cellStyle name="Currency 5 3 3 2 5 3" xfId="6271" xr:uid="{00000000-0005-0000-0000-0000A6180000}"/>
    <cellStyle name="Currency 5 3 3 2 5 3 2" xfId="15862" xr:uid="{EA46DEEC-6D19-4C13-9786-DE49D3276232}"/>
    <cellStyle name="Currency 5 3 3 2 5 4" xfId="11557" xr:uid="{AC418BEF-C731-41E0-A2E9-F2D3857E5F39}"/>
    <cellStyle name="Currency 5 3 3 2 6" xfId="2400" xr:uid="{00000000-0005-0000-0000-000087090000}"/>
    <cellStyle name="Currency 5 3 3 2 6 2" xfId="6684" xr:uid="{00000000-0005-0000-0000-0000431A0000}"/>
    <cellStyle name="Currency 5 3 3 2 6 2 2" xfId="16275" xr:uid="{6ECDA6F3-A6D0-4C19-920C-D4CE9137614C}"/>
    <cellStyle name="Currency 5 3 3 2 6 3" xfId="11992" xr:uid="{8D873BC1-B837-4B46-8426-6050819AD8E1}"/>
    <cellStyle name="Currency 5 3 3 2 7" xfId="2697" xr:uid="{00000000-0005-0000-0000-0000B00A0000}"/>
    <cellStyle name="Currency 5 3 3 2 7 2" xfId="12289" xr:uid="{E8B5A267-B357-4424-89D0-CF58860A5B71}"/>
    <cellStyle name="Currency 5 3 3 2 8" xfId="2778" xr:uid="{00000000-0005-0000-0000-0000010B0000}"/>
    <cellStyle name="Currency 5 3 3 2 8 2" xfId="7001" xr:uid="{00000000-0005-0000-0000-0000801B0000}"/>
    <cellStyle name="Currency 5 3 3 2 8 2 2" xfId="16592" xr:uid="{D958117E-73DA-42C7-AC9B-A2845479BE16}"/>
    <cellStyle name="Currency 5 3 3 2 8 3" xfId="12370" xr:uid="{229DD416-AC18-4472-A6A3-3822C566B0C5}"/>
    <cellStyle name="Currency 5 3 3 2 9" xfId="4618" xr:uid="{00000000-0005-0000-0000-000031120000}"/>
    <cellStyle name="Currency 5 3 3 2 9 2" xfId="14209" xr:uid="{A0A9EA1C-CD32-4E77-BC7B-A84A066AB0D1}"/>
    <cellStyle name="Currency 5 3 3 3" xfId="701" xr:uid="{00000000-0005-0000-0000-0000E4020000}"/>
    <cellStyle name="Currency 5 3 3 3 2" xfId="2954" xr:uid="{00000000-0005-0000-0000-0000B10B0000}"/>
    <cellStyle name="Currency 5 3 3 3 2 2" xfId="7176" xr:uid="{00000000-0005-0000-0000-00002F1C0000}"/>
    <cellStyle name="Currency 5 3 3 3 2 2 2" xfId="16767" xr:uid="{934966A9-B2E3-4F83-8653-A85682628583}"/>
    <cellStyle name="Currency 5 3 3 3 2 3" xfId="12546" xr:uid="{EDF7A3AD-412F-4BF1-878F-C079259B290B}"/>
    <cellStyle name="Currency 5 3 3 3 3" xfId="5031" xr:uid="{00000000-0005-0000-0000-0000CE130000}"/>
    <cellStyle name="Currency 5 3 3 3 3 2" xfId="14622" xr:uid="{4608AA27-BCFE-442B-B37C-CB08410C99B4}"/>
    <cellStyle name="Currency 5 3 3 3 4" xfId="9268" xr:uid="{00000000-0005-0000-0000-00005B240000}"/>
    <cellStyle name="Currency 5 3 3 3 5" xfId="10294" xr:uid="{EF1A71C2-3703-4FA7-ABD2-3F5F230B0135}"/>
    <cellStyle name="Currency 5 3 3 4" xfId="1136" xr:uid="{00000000-0005-0000-0000-000097040000}"/>
    <cellStyle name="Currency 5 3 3 4 2" xfId="3367" xr:uid="{00000000-0005-0000-0000-00004E0D0000}"/>
    <cellStyle name="Currency 5 3 3 4 2 2" xfId="7589" xr:uid="{00000000-0005-0000-0000-0000CC1D0000}"/>
    <cellStyle name="Currency 5 3 3 4 2 2 2" xfId="17180" xr:uid="{8DB6ABA3-8005-4E9E-AA6B-65815138812A}"/>
    <cellStyle name="Currency 5 3 3 4 2 3" xfId="12959" xr:uid="{8724CEA6-F66D-4ED1-A6D4-FEC9DBDB4970}"/>
    <cellStyle name="Currency 5 3 3 4 3" xfId="5444" xr:uid="{00000000-0005-0000-0000-00006B150000}"/>
    <cellStyle name="Currency 5 3 3 4 3 2" xfId="15035" xr:uid="{3106FA09-81A7-4BEF-9452-C44DB6C995C5}"/>
    <cellStyle name="Currency 5 3 3 4 4" xfId="10729" xr:uid="{FCFCCBC3-BAF0-414B-B3A8-8FE003851A07}"/>
    <cellStyle name="Currency 5 3 3 5" xfId="1550" xr:uid="{00000000-0005-0000-0000-000035060000}"/>
    <cellStyle name="Currency 5 3 3 5 2" xfId="3780" xr:uid="{00000000-0005-0000-0000-0000EB0E0000}"/>
    <cellStyle name="Currency 5 3 3 5 2 2" xfId="8002" xr:uid="{00000000-0005-0000-0000-0000691F0000}"/>
    <cellStyle name="Currency 5 3 3 5 2 2 2" xfId="17593" xr:uid="{EB89512E-BDCD-4576-A158-938F4F08690A}"/>
    <cellStyle name="Currency 5 3 3 5 2 3" xfId="13372" xr:uid="{568FF810-07F2-4ADC-B6BA-46D2F5080694}"/>
    <cellStyle name="Currency 5 3 3 5 3" xfId="5857" xr:uid="{00000000-0005-0000-0000-000008170000}"/>
    <cellStyle name="Currency 5 3 3 5 3 2" xfId="15448" xr:uid="{2E58DE7F-6C90-4ABB-9FA8-884AF3E66D9C}"/>
    <cellStyle name="Currency 5 3 3 5 4" xfId="11143" xr:uid="{9A9C458E-32DC-4715-9498-D20DCB73DA3B}"/>
    <cellStyle name="Currency 5 3 3 6" xfId="1964" xr:uid="{00000000-0005-0000-0000-0000D3070000}"/>
    <cellStyle name="Currency 5 3 3 6 2" xfId="4193" xr:uid="{00000000-0005-0000-0000-000088100000}"/>
    <cellStyle name="Currency 5 3 3 6 2 2" xfId="8415" xr:uid="{00000000-0005-0000-0000-000006210000}"/>
    <cellStyle name="Currency 5 3 3 6 2 2 2" xfId="18006" xr:uid="{74FD2F9F-EF21-4DCE-B867-DE216D2DDFC9}"/>
    <cellStyle name="Currency 5 3 3 6 2 3" xfId="13785" xr:uid="{CB0BE793-DCD7-4A63-BC3E-31B1E5F1F260}"/>
    <cellStyle name="Currency 5 3 3 6 3" xfId="6270" xr:uid="{00000000-0005-0000-0000-0000A5180000}"/>
    <cellStyle name="Currency 5 3 3 6 3 2" xfId="15861" xr:uid="{59853B31-6D5B-4AAF-A68D-366226AF3057}"/>
    <cellStyle name="Currency 5 3 3 6 4" xfId="11556" xr:uid="{C068486B-D74E-422B-9592-197A925EF772}"/>
    <cellStyle name="Currency 5 3 3 7" xfId="2399" xr:uid="{00000000-0005-0000-0000-000086090000}"/>
    <cellStyle name="Currency 5 3 3 7 2" xfId="6683" xr:uid="{00000000-0005-0000-0000-0000421A0000}"/>
    <cellStyle name="Currency 5 3 3 7 2 2" xfId="16274" xr:uid="{B6CD30E1-9F08-4ED2-B49D-B33C746C7074}"/>
    <cellStyle name="Currency 5 3 3 7 3" xfId="11991" xr:uid="{FE673EA7-ABBA-49C0-8E91-50392FDFDF0D}"/>
    <cellStyle name="Currency 5 3 3 8" xfId="2696" xr:uid="{00000000-0005-0000-0000-0000AF0A0000}"/>
    <cellStyle name="Currency 5 3 3 8 2" xfId="12288" xr:uid="{407734F4-3B16-484D-B83E-86C3BE8274A0}"/>
    <cellStyle name="Currency 5 3 3 9" xfId="2777" xr:uid="{00000000-0005-0000-0000-0000000B0000}"/>
    <cellStyle name="Currency 5 3 3 9 2" xfId="7000" xr:uid="{00000000-0005-0000-0000-00007F1B0000}"/>
    <cellStyle name="Currency 5 3 3 9 2 2" xfId="16591" xr:uid="{09552C28-5E27-4F66-9A23-E6EC1C69CF42}"/>
    <cellStyle name="Currency 5 3 3 9 3" xfId="12369" xr:uid="{1E64DC17-1BC4-4FF5-AAB6-67B2C1B4327D}"/>
    <cellStyle name="Currency 5 3 4" xfId="189" xr:uid="{00000000-0005-0000-0000-0000D8000000}"/>
    <cellStyle name="Currency 5 3 4 10" xfId="8947" xr:uid="{00000000-0005-0000-0000-00001A230000}"/>
    <cellStyle name="Currency 5 3 4 11" xfId="9801" xr:uid="{718FCA9E-0C0D-4F91-BE67-C9D766E430CA}"/>
    <cellStyle name="Currency 5 3 4 2" xfId="703" xr:uid="{00000000-0005-0000-0000-0000E6020000}"/>
    <cellStyle name="Currency 5 3 4 2 2" xfId="2956" xr:uid="{00000000-0005-0000-0000-0000B30B0000}"/>
    <cellStyle name="Currency 5 3 4 2 2 2" xfId="7178" xr:uid="{00000000-0005-0000-0000-0000311C0000}"/>
    <cellStyle name="Currency 5 3 4 2 2 2 2" xfId="16769" xr:uid="{9AE6C542-A8D0-4CE1-B334-D75A7F523058}"/>
    <cellStyle name="Currency 5 3 4 2 2 3" xfId="12548" xr:uid="{FBF34BCE-03A9-46A5-B69C-A0F3E0C957C3}"/>
    <cellStyle name="Currency 5 3 4 2 3" xfId="5033" xr:uid="{00000000-0005-0000-0000-0000D0130000}"/>
    <cellStyle name="Currency 5 3 4 2 3 2" xfId="14624" xr:uid="{4F3A1E11-41D5-4C22-8553-192D41FD2AA2}"/>
    <cellStyle name="Currency 5 3 4 2 4" xfId="9372" xr:uid="{00000000-0005-0000-0000-0000C3240000}"/>
    <cellStyle name="Currency 5 3 4 2 5" xfId="10296" xr:uid="{C411F7C9-487B-43C3-9BBA-5F1983C2F852}"/>
    <cellStyle name="Currency 5 3 4 3" xfId="1138" xr:uid="{00000000-0005-0000-0000-000099040000}"/>
    <cellStyle name="Currency 5 3 4 3 2" xfId="3369" xr:uid="{00000000-0005-0000-0000-0000500D0000}"/>
    <cellStyle name="Currency 5 3 4 3 2 2" xfId="7591" xr:uid="{00000000-0005-0000-0000-0000CE1D0000}"/>
    <cellStyle name="Currency 5 3 4 3 2 2 2" xfId="17182" xr:uid="{C2A1F743-D6B7-40DC-805C-04CDE2AF0DDB}"/>
    <cellStyle name="Currency 5 3 4 3 2 3" xfId="12961" xr:uid="{E76DF20D-9219-4144-80CF-928F7BBC8EF5}"/>
    <cellStyle name="Currency 5 3 4 3 3" xfId="5446" xr:uid="{00000000-0005-0000-0000-00006D150000}"/>
    <cellStyle name="Currency 5 3 4 3 3 2" xfId="15037" xr:uid="{03DF954A-4B20-4348-893C-82F0A3D36741}"/>
    <cellStyle name="Currency 5 3 4 3 4" xfId="10731" xr:uid="{AEA18062-31B4-4542-9BD0-872BD5C363D7}"/>
    <cellStyle name="Currency 5 3 4 4" xfId="1552" xr:uid="{00000000-0005-0000-0000-000037060000}"/>
    <cellStyle name="Currency 5 3 4 4 2" xfId="3782" xr:uid="{00000000-0005-0000-0000-0000ED0E0000}"/>
    <cellStyle name="Currency 5 3 4 4 2 2" xfId="8004" xr:uid="{00000000-0005-0000-0000-00006B1F0000}"/>
    <cellStyle name="Currency 5 3 4 4 2 2 2" xfId="17595" xr:uid="{B886B028-7907-4412-8B90-E07C523D0E51}"/>
    <cellStyle name="Currency 5 3 4 4 2 3" xfId="13374" xr:uid="{CAA5F8FF-5F47-4152-B57C-BBF3E60CB4A6}"/>
    <cellStyle name="Currency 5 3 4 4 3" xfId="5859" xr:uid="{00000000-0005-0000-0000-00000A170000}"/>
    <cellStyle name="Currency 5 3 4 4 3 2" xfId="15450" xr:uid="{5B8D95A6-7921-4D17-B8D3-D2771063D48A}"/>
    <cellStyle name="Currency 5 3 4 4 4" xfId="11145" xr:uid="{83634963-350B-4C23-82DF-F680C9FAFAA9}"/>
    <cellStyle name="Currency 5 3 4 5" xfId="1966" xr:uid="{00000000-0005-0000-0000-0000D5070000}"/>
    <cellStyle name="Currency 5 3 4 5 2" xfId="4195" xr:uid="{00000000-0005-0000-0000-00008A100000}"/>
    <cellStyle name="Currency 5 3 4 5 2 2" xfId="8417" xr:uid="{00000000-0005-0000-0000-000008210000}"/>
    <cellStyle name="Currency 5 3 4 5 2 2 2" xfId="18008" xr:uid="{FB8BB895-68E7-4558-8572-DD2E3688C1D1}"/>
    <cellStyle name="Currency 5 3 4 5 2 3" xfId="13787" xr:uid="{B3EBE229-380D-4862-9752-A85CDB65049B}"/>
    <cellStyle name="Currency 5 3 4 5 3" xfId="6272" xr:uid="{00000000-0005-0000-0000-0000A7180000}"/>
    <cellStyle name="Currency 5 3 4 5 3 2" xfId="15863" xr:uid="{098AA3BC-3415-4F68-84AC-9346DB737E79}"/>
    <cellStyle name="Currency 5 3 4 5 4" xfId="11558" xr:uid="{4A591A36-4B2B-4ADD-8A03-5E3990070F04}"/>
    <cellStyle name="Currency 5 3 4 6" xfId="2401" xr:uid="{00000000-0005-0000-0000-000088090000}"/>
    <cellStyle name="Currency 5 3 4 6 2" xfId="6685" xr:uid="{00000000-0005-0000-0000-0000441A0000}"/>
    <cellStyle name="Currency 5 3 4 6 2 2" xfId="16276" xr:uid="{D26A271D-77DC-42B1-89C7-198C63ABCA04}"/>
    <cellStyle name="Currency 5 3 4 6 3" xfId="11993" xr:uid="{F6E2AB11-9F48-404E-B3CF-D34152FD3118}"/>
    <cellStyle name="Currency 5 3 4 7" xfId="2698" xr:uid="{00000000-0005-0000-0000-0000B10A0000}"/>
    <cellStyle name="Currency 5 3 4 7 2" xfId="12290" xr:uid="{FC0DEB4B-157E-41BB-A2E6-EBECC28A3D24}"/>
    <cellStyle name="Currency 5 3 4 8" xfId="2779" xr:uid="{00000000-0005-0000-0000-0000020B0000}"/>
    <cellStyle name="Currency 5 3 4 8 2" xfId="7002" xr:uid="{00000000-0005-0000-0000-0000811B0000}"/>
    <cellStyle name="Currency 5 3 4 8 2 2" xfId="16593" xr:uid="{F3C4B00A-7802-4F28-AB41-3DEED655C7AA}"/>
    <cellStyle name="Currency 5 3 4 8 3" xfId="12371" xr:uid="{BEC04C85-FB04-4283-A3C1-5EBBDD12956A}"/>
    <cellStyle name="Currency 5 3 4 9" xfId="4619" xr:uid="{00000000-0005-0000-0000-000032120000}"/>
    <cellStyle name="Currency 5 3 4 9 2" xfId="14210" xr:uid="{13E9AD6B-87D9-4DAB-B5E0-65AE1986C688}"/>
    <cellStyle name="Currency 5 3 5" xfId="190" xr:uid="{00000000-0005-0000-0000-0000D9000000}"/>
    <cellStyle name="Currency 5 3 5 10" xfId="9164" xr:uid="{00000000-0005-0000-0000-0000F3230000}"/>
    <cellStyle name="Currency 5 3 5 11" xfId="9802" xr:uid="{73EF908A-4EDD-4EE8-AB2A-D356E5F30CFB}"/>
    <cellStyle name="Currency 5 3 5 2" xfId="704" xr:uid="{00000000-0005-0000-0000-0000E7020000}"/>
    <cellStyle name="Currency 5 3 5 2 2" xfId="2957" xr:uid="{00000000-0005-0000-0000-0000B40B0000}"/>
    <cellStyle name="Currency 5 3 5 2 2 2" xfId="7179" xr:uid="{00000000-0005-0000-0000-0000321C0000}"/>
    <cellStyle name="Currency 5 3 5 2 2 2 2" xfId="16770" xr:uid="{234867EB-87AD-4CC1-8F1E-D2A4021F494C}"/>
    <cellStyle name="Currency 5 3 5 2 2 3" xfId="12549" xr:uid="{E179601A-626F-4958-8B50-E7BEDEF95D84}"/>
    <cellStyle name="Currency 5 3 5 2 3" xfId="5034" xr:uid="{00000000-0005-0000-0000-0000D1130000}"/>
    <cellStyle name="Currency 5 3 5 2 3 2" xfId="14625" xr:uid="{97B66A63-8650-423B-BDBE-6FE69B8747AA}"/>
    <cellStyle name="Currency 5 3 5 2 4" xfId="9561" xr:uid="{00000000-0005-0000-0000-000080250000}"/>
    <cellStyle name="Currency 5 3 5 2 5" xfId="10297" xr:uid="{5000F94C-0B95-4112-968C-8D1EF9B40688}"/>
    <cellStyle name="Currency 5 3 5 3" xfId="1139" xr:uid="{00000000-0005-0000-0000-00009A040000}"/>
    <cellStyle name="Currency 5 3 5 3 2" xfId="3370" xr:uid="{00000000-0005-0000-0000-0000510D0000}"/>
    <cellStyle name="Currency 5 3 5 3 2 2" xfId="7592" xr:uid="{00000000-0005-0000-0000-0000CF1D0000}"/>
    <cellStyle name="Currency 5 3 5 3 2 2 2" xfId="17183" xr:uid="{8AD93148-A86C-4DF7-B66D-9D96B31EA7CE}"/>
    <cellStyle name="Currency 5 3 5 3 2 3" xfId="12962" xr:uid="{249B4D95-BB81-4266-BB05-A8D41A24E0B5}"/>
    <cellStyle name="Currency 5 3 5 3 3" xfId="5447" xr:uid="{00000000-0005-0000-0000-00006E150000}"/>
    <cellStyle name="Currency 5 3 5 3 3 2" xfId="15038" xr:uid="{23333F3E-2D60-41D9-9DA7-7AF87A8F9B59}"/>
    <cellStyle name="Currency 5 3 5 3 4" xfId="10732" xr:uid="{2AE82C5D-B88C-48E6-9686-CAF73FE08E8F}"/>
    <cellStyle name="Currency 5 3 5 4" xfId="1553" xr:uid="{00000000-0005-0000-0000-000038060000}"/>
    <cellStyle name="Currency 5 3 5 4 2" xfId="3783" xr:uid="{00000000-0005-0000-0000-0000EE0E0000}"/>
    <cellStyle name="Currency 5 3 5 4 2 2" xfId="8005" xr:uid="{00000000-0005-0000-0000-00006C1F0000}"/>
    <cellStyle name="Currency 5 3 5 4 2 2 2" xfId="17596" xr:uid="{C076EE97-DE75-42B3-A3F9-9C133378312C}"/>
    <cellStyle name="Currency 5 3 5 4 2 3" xfId="13375" xr:uid="{75A5CA79-9804-499E-AE28-F46242165C9D}"/>
    <cellStyle name="Currency 5 3 5 4 3" xfId="5860" xr:uid="{00000000-0005-0000-0000-00000B170000}"/>
    <cellStyle name="Currency 5 3 5 4 3 2" xfId="15451" xr:uid="{DF459D2B-9059-4513-8ABA-88655559E698}"/>
    <cellStyle name="Currency 5 3 5 4 4" xfId="11146" xr:uid="{F3B3003E-E6AB-4990-882F-0947BD22A26A}"/>
    <cellStyle name="Currency 5 3 5 5" xfId="1967" xr:uid="{00000000-0005-0000-0000-0000D6070000}"/>
    <cellStyle name="Currency 5 3 5 5 2" xfId="4196" xr:uid="{00000000-0005-0000-0000-00008B100000}"/>
    <cellStyle name="Currency 5 3 5 5 2 2" xfId="8418" xr:uid="{00000000-0005-0000-0000-000009210000}"/>
    <cellStyle name="Currency 5 3 5 5 2 2 2" xfId="18009" xr:uid="{AB0783D9-7D5E-42F7-9400-DE75E41FBA51}"/>
    <cellStyle name="Currency 5 3 5 5 2 3" xfId="13788" xr:uid="{C7D86F89-EBA0-4A98-9E78-E470E9398D6E}"/>
    <cellStyle name="Currency 5 3 5 5 3" xfId="6273" xr:uid="{00000000-0005-0000-0000-0000A8180000}"/>
    <cellStyle name="Currency 5 3 5 5 3 2" xfId="15864" xr:uid="{225449B3-CFB7-4670-AA9F-EB36CF55FCED}"/>
    <cellStyle name="Currency 5 3 5 5 4" xfId="11559" xr:uid="{5DCF6125-D1D8-4365-9223-C26645EB95BE}"/>
    <cellStyle name="Currency 5 3 5 6" xfId="2402" xr:uid="{00000000-0005-0000-0000-000089090000}"/>
    <cellStyle name="Currency 5 3 5 6 2" xfId="6686" xr:uid="{00000000-0005-0000-0000-0000451A0000}"/>
    <cellStyle name="Currency 5 3 5 6 2 2" xfId="16277" xr:uid="{8E8E850A-AFF8-47DE-842E-6D6ACEB75740}"/>
    <cellStyle name="Currency 5 3 5 6 3" xfId="11994" xr:uid="{C89E0D58-018E-46DD-90F6-44F418204F19}"/>
    <cellStyle name="Currency 5 3 5 7" xfId="2699" xr:uid="{00000000-0005-0000-0000-0000B20A0000}"/>
    <cellStyle name="Currency 5 3 5 7 2" xfId="12291" xr:uid="{70E4532E-D8A0-467B-B2BE-95273B069117}"/>
    <cellStyle name="Currency 5 3 5 8" xfId="2780" xr:uid="{00000000-0005-0000-0000-0000030B0000}"/>
    <cellStyle name="Currency 5 3 5 8 2" xfId="7003" xr:uid="{00000000-0005-0000-0000-0000821B0000}"/>
    <cellStyle name="Currency 5 3 5 8 2 2" xfId="16594" xr:uid="{E1A949FC-F6D3-406D-B1E4-69018C229A1F}"/>
    <cellStyle name="Currency 5 3 5 8 3" xfId="12372" xr:uid="{BCD8F0E3-92FC-4C1D-90DE-7A2187A19EE8}"/>
    <cellStyle name="Currency 5 3 5 9" xfId="4620" xr:uid="{00000000-0005-0000-0000-000033120000}"/>
    <cellStyle name="Currency 5 3 5 9 2" xfId="14211" xr:uid="{8BC9C1C4-36B9-41AE-9B3C-B8E3A1FF083A}"/>
    <cellStyle name="Currency 5 3 6" xfId="9546" xr:uid="{00000000-0005-0000-0000-000071250000}"/>
    <cellStyle name="Currency 5 3 7" xfId="8740" xr:uid="{00000000-0005-0000-0000-00004B220000}"/>
    <cellStyle name="Currency 5 3 8" xfId="9794" xr:uid="{00512594-30BF-4645-8E44-7D732CDBEEA4}"/>
    <cellStyle name="Currency 5 4" xfId="191" xr:uid="{00000000-0005-0000-0000-0000DA000000}"/>
    <cellStyle name="Currency 5 4 2" xfId="705" xr:uid="{00000000-0005-0000-0000-0000E8020000}"/>
    <cellStyle name="Currency 5 4 2 2" xfId="10298" xr:uid="{945E5430-4EBA-44B2-9DD9-112054FE4E17}"/>
    <cellStyle name="Currency 5 4 3" xfId="9803" xr:uid="{1B6F6267-D859-4BB8-B9B4-776EBC2F6DCD}"/>
    <cellStyle name="Currency 5 5" xfId="192" xr:uid="{00000000-0005-0000-0000-0000DB000000}"/>
    <cellStyle name="Currency 5 5 10" xfId="4621" xr:uid="{00000000-0005-0000-0000-000034120000}"/>
    <cellStyle name="Currency 5 5 10 2" xfId="14212" xr:uid="{F4322478-7E7A-41C7-BA7F-142399AFBA95}"/>
    <cellStyle name="Currency 5 5 11" xfId="8811" xr:uid="{00000000-0005-0000-0000-000092220000}"/>
    <cellStyle name="Currency 5 5 12" xfId="9804" xr:uid="{2AD6D29D-F550-4BDB-B503-B5DFB8FA584A}"/>
    <cellStyle name="Currency 5 5 2" xfId="193" xr:uid="{00000000-0005-0000-0000-0000DC000000}"/>
    <cellStyle name="Currency 5 5 2 10" xfId="9018" xr:uid="{00000000-0005-0000-0000-000061230000}"/>
    <cellStyle name="Currency 5 5 2 11" xfId="9805" xr:uid="{80D3C553-86AD-4CFC-9B53-0F2A05FCC5AA}"/>
    <cellStyle name="Currency 5 5 2 2" xfId="707" xr:uid="{00000000-0005-0000-0000-0000EA020000}"/>
    <cellStyle name="Currency 5 5 2 2 2" xfId="2959" xr:uid="{00000000-0005-0000-0000-0000B60B0000}"/>
    <cellStyle name="Currency 5 5 2 2 2 2" xfId="7181" xr:uid="{00000000-0005-0000-0000-0000341C0000}"/>
    <cellStyle name="Currency 5 5 2 2 2 2 2" xfId="16772" xr:uid="{AA388891-20B1-4C16-B6FD-0904E41B7120}"/>
    <cellStyle name="Currency 5 5 2 2 2 3" xfId="12551" xr:uid="{F8B31F58-511C-476F-A324-835AA96D3CF0}"/>
    <cellStyle name="Currency 5 5 2 2 3" xfId="5036" xr:uid="{00000000-0005-0000-0000-0000D3130000}"/>
    <cellStyle name="Currency 5 5 2 2 3 2" xfId="14627" xr:uid="{C0FD591B-5E78-454E-A76E-265DB5A831B7}"/>
    <cellStyle name="Currency 5 5 2 2 4" xfId="9443" xr:uid="{00000000-0005-0000-0000-00000A250000}"/>
    <cellStyle name="Currency 5 5 2 2 5" xfId="10300" xr:uid="{0CD62952-2F71-41D3-B11A-0975020CBEC2}"/>
    <cellStyle name="Currency 5 5 2 3" xfId="1141" xr:uid="{00000000-0005-0000-0000-00009C040000}"/>
    <cellStyle name="Currency 5 5 2 3 2" xfId="3372" xr:uid="{00000000-0005-0000-0000-0000530D0000}"/>
    <cellStyle name="Currency 5 5 2 3 2 2" xfId="7594" xr:uid="{00000000-0005-0000-0000-0000D11D0000}"/>
    <cellStyle name="Currency 5 5 2 3 2 2 2" xfId="17185" xr:uid="{801F493E-1CA8-4444-9A8C-FF317C9116B4}"/>
    <cellStyle name="Currency 5 5 2 3 2 3" xfId="12964" xr:uid="{2581813E-0B73-464C-98F2-CA112796E99F}"/>
    <cellStyle name="Currency 5 5 2 3 3" xfId="5449" xr:uid="{00000000-0005-0000-0000-000070150000}"/>
    <cellStyle name="Currency 5 5 2 3 3 2" xfId="15040" xr:uid="{E7FF1D52-F23A-4B7A-BB02-E1F491DB3E35}"/>
    <cellStyle name="Currency 5 5 2 3 4" xfId="10734" xr:uid="{29B850C1-9F8F-4562-8F4F-0F11A8DA6EC7}"/>
    <cellStyle name="Currency 5 5 2 4" xfId="1555" xr:uid="{00000000-0005-0000-0000-00003A060000}"/>
    <cellStyle name="Currency 5 5 2 4 2" xfId="3785" xr:uid="{00000000-0005-0000-0000-0000F00E0000}"/>
    <cellStyle name="Currency 5 5 2 4 2 2" xfId="8007" xr:uid="{00000000-0005-0000-0000-00006E1F0000}"/>
    <cellStyle name="Currency 5 5 2 4 2 2 2" xfId="17598" xr:uid="{6C15031A-1EB2-4B68-8DA6-AFE43EBE601A}"/>
    <cellStyle name="Currency 5 5 2 4 2 3" xfId="13377" xr:uid="{B6F44EB8-751F-4E99-90BF-A81C8EF75CA9}"/>
    <cellStyle name="Currency 5 5 2 4 3" xfId="5862" xr:uid="{00000000-0005-0000-0000-00000D170000}"/>
    <cellStyle name="Currency 5 5 2 4 3 2" xfId="15453" xr:uid="{097B3387-56D8-4EF5-9606-BFB863F0854E}"/>
    <cellStyle name="Currency 5 5 2 4 4" xfId="11148" xr:uid="{C6EC00E6-1FE3-400E-BC92-FF3F1803FD0B}"/>
    <cellStyle name="Currency 5 5 2 5" xfId="1969" xr:uid="{00000000-0005-0000-0000-0000D8070000}"/>
    <cellStyle name="Currency 5 5 2 5 2" xfId="4198" xr:uid="{00000000-0005-0000-0000-00008D100000}"/>
    <cellStyle name="Currency 5 5 2 5 2 2" xfId="8420" xr:uid="{00000000-0005-0000-0000-00000B210000}"/>
    <cellStyle name="Currency 5 5 2 5 2 2 2" xfId="18011" xr:uid="{2A96933D-C29D-4EB3-96EB-BC1747B7EBE8}"/>
    <cellStyle name="Currency 5 5 2 5 2 3" xfId="13790" xr:uid="{5561F2A4-29A0-4A4F-B1F2-5E4E5F762C91}"/>
    <cellStyle name="Currency 5 5 2 5 3" xfId="6275" xr:uid="{00000000-0005-0000-0000-0000AA180000}"/>
    <cellStyle name="Currency 5 5 2 5 3 2" xfId="15866" xr:uid="{F3E42094-D52A-4328-BACD-C0741E64E3CE}"/>
    <cellStyle name="Currency 5 5 2 5 4" xfId="11561" xr:uid="{EF4BBCE4-4211-4B75-A370-572245C53059}"/>
    <cellStyle name="Currency 5 5 2 6" xfId="2404" xr:uid="{00000000-0005-0000-0000-00008B090000}"/>
    <cellStyle name="Currency 5 5 2 6 2" xfId="6688" xr:uid="{00000000-0005-0000-0000-0000471A0000}"/>
    <cellStyle name="Currency 5 5 2 6 2 2" xfId="16279" xr:uid="{4CADB660-FE6E-4294-B02A-1B52A035BCFC}"/>
    <cellStyle name="Currency 5 5 2 6 3" xfId="11996" xr:uid="{3AD05627-140F-4441-B8AA-AFC8D7DE0E9D}"/>
    <cellStyle name="Currency 5 5 2 7" xfId="2701" xr:uid="{00000000-0005-0000-0000-0000B40A0000}"/>
    <cellStyle name="Currency 5 5 2 7 2" xfId="12293" xr:uid="{8924B12A-4294-4A85-A5EC-36CB993167F9}"/>
    <cellStyle name="Currency 5 5 2 8" xfId="2782" xr:uid="{00000000-0005-0000-0000-0000050B0000}"/>
    <cellStyle name="Currency 5 5 2 8 2" xfId="7005" xr:uid="{00000000-0005-0000-0000-0000841B0000}"/>
    <cellStyle name="Currency 5 5 2 8 2 2" xfId="16596" xr:uid="{313E91D3-A546-47D7-AE4E-9450C9FAD350}"/>
    <cellStyle name="Currency 5 5 2 8 3" xfId="12374" xr:uid="{E704BBDB-C0BF-42F1-BF3A-9CB68FA918F9}"/>
    <cellStyle name="Currency 5 5 2 9" xfId="4622" xr:uid="{00000000-0005-0000-0000-000035120000}"/>
    <cellStyle name="Currency 5 5 2 9 2" xfId="14213" xr:uid="{8BE653E8-E376-472B-A909-C8048A66698E}"/>
    <cellStyle name="Currency 5 5 3" xfId="706" xr:uid="{00000000-0005-0000-0000-0000E9020000}"/>
    <cellStyle name="Currency 5 5 3 2" xfId="2958" xr:uid="{00000000-0005-0000-0000-0000B50B0000}"/>
    <cellStyle name="Currency 5 5 3 2 2" xfId="7180" xr:uid="{00000000-0005-0000-0000-0000331C0000}"/>
    <cellStyle name="Currency 5 5 3 2 2 2" xfId="16771" xr:uid="{CF3B7C87-8121-49A3-BF7A-AADB94A46774}"/>
    <cellStyle name="Currency 5 5 3 2 3" xfId="12550" xr:uid="{07F71764-5514-4E48-9639-1F8E0BE9DE98}"/>
    <cellStyle name="Currency 5 5 3 3" xfId="5035" xr:uid="{00000000-0005-0000-0000-0000D2130000}"/>
    <cellStyle name="Currency 5 5 3 3 2" xfId="14626" xr:uid="{FD314415-7ABF-40ED-B685-C663ED162BCE}"/>
    <cellStyle name="Currency 5 5 3 4" xfId="9236" xr:uid="{00000000-0005-0000-0000-00003B240000}"/>
    <cellStyle name="Currency 5 5 3 5" xfId="10299" xr:uid="{730F630B-753F-44E9-8C08-7F233609E7A1}"/>
    <cellStyle name="Currency 5 5 4" xfId="1140" xr:uid="{00000000-0005-0000-0000-00009B040000}"/>
    <cellStyle name="Currency 5 5 4 2" xfId="3371" xr:uid="{00000000-0005-0000-0000-0000520D0000}"/>
    <cellStyle name="Currency 5 5 4 2 2" xfId="7593" xr:uid="{00000000-0005-0000-0000-0000D01D0000}"/>
    <cellStyle name="Currency 5 5 4 2 2 2" xfId="17184" xr:uid="{8ED60239-5616-42A8-9DCC-CA7713DA3DCE}"/>
    <cellStyle name="Currency 5 5 4 2 3" xfId="12963" xr:uid="{8073360E-0C6D-4406-966C-D940EE78EE76}"/>
    <cellStyle name="Currency 5 5 4 3" xfId="5448" xr:uid="{00000000-0005-0000-0000-00006F150000}"/>
    <cellStyle name="Currency 5 5 4 3 2" xfId="15039" xr:uid="{4E670869-1040-433B-B4C1-7CC08ECD13AF}"/>
    <cellStyle name="Currency 5 5 4 4" xfId="10733" xr:uid="{D41E7E6D-F18A-452F-B122-1A26BBAC56BA}"/>
    <cellStyle name="Currency 5 5 5" xfId="1554" xr:uid="{00000000-0005-0000-0000-000039060000}"/>
    <cellStyle name="Currency 5 5 5 2" xfId="3784" xr:uid="{00000000-0005-0000-0000-0000EF0E0000}"/>
    <cellStyle name="Currency 5 5 5 2 2" xfId="8006" xr:uid="{00000000-0005-0000-0000-00006D1F0000}"/>
    <cellStyle name="Currency 5 5 5 2 2 2" xfId="17597" xr:uid="{A3E9093C-895B-4542-B0AC-F86DF49293CD}"/>
    <cellStyle name="Currency 5 5 5 2 3" xfId="13376" xr:uid="{1C50F809-1C25-4CDC-99D9-2A54325C42B4}"/>
    <cellStyle name="Currency 5 5 5 3" xfId="5861" xr:uid="{00000000-0005-0000-0000-00000C170000}"/>
    <cellStyle name="Currency 5 5 5 3 2" xfId="15452" xr:uid="{CCF9450E-8A88-4F44-BB23-6DA432D94AAD}"/>
    <cellStyle name="Currency 5 5 5 4" xfId="11147" xr:uid="{B191FAAC-00E8-4B12-A544-DB4E2E5C5FBC}"/>
    <cellStyle name="Currency 5 5 6" xfId="1968" xr:uid="{00000000-0005-0000-0000-0000D7070000}"/>
    <cellStyle name="Currency 5 5 6 2" xfId="4197" xr:uid="{00000000-0005-0000-0000-00008C100000}"/>
    <cellStyle name="Currency 5 5 6 2 2" xfId="8419" xr:uid="{00000000-0005-0000-0000-00000A210000}"/>
    <cellStyle name="Currency 5 5 6 2 2 2" xfId="18010" xr:uid="{663BCC6C-8FA4-4B02-A034-7704C44CBA6B}"/>
    <cellStyle name="Currency 5 5 6 2 3" xfId="13789" xr:uid="{9ABCE895-0415-467E-906E-7463B5D77DC7}"/>
    <cellStyle name="Currency 5 5 6 3" xfId="6274" xr:uid="{00000000-0005-0000-0000-0000A9180000}"/>
    <cellStyle name="Currency 5 5 6 3 2" xfId="15865" xr:uid="{9F5216BB-A086-475B-89BE-8E867BB917D1}"/>
    <cellStyle name="Currency 5 5 6 4" xfId="11560" xr:uid="{45EA98D8-8B81-4F0A-BDBD-AA9443CD8C99}"/>
    <cellStyle name="Currency 5 5 7" xfId="2403" xr:uid="{00000000-0005-0000-0000-00008A090000}"/>
    <cellStyle name="Currency 5 5 7 2" xfId="6687" xr:uid="{00000000-0005-0000-0000-0000461A0000}"/>
    <cellStyle name="Currency 5 5 7 2 2" xfId="16278" xr:uid="{0398227D-3D53-40A3-AF67-592DF144A2F5}"/>
    <cellStyle name="Currency 5 5 7 3" xfId="11995" xr:uid="{AA1DF36D-9404-4346-B1AC-3BC4E0ABDF76}"/>
    <cellStyle name="Currency 5 5 8" xfId="2700" xr:uid="{00000000-0005-0000-0000-0000B30A0000}"/>
    <cellStyle name="Currency 5 5 8 2" xfId="12292" xr:uid="{BCD4D558-8BDA-4521-8C6B-191E57C0D061}"/>
    <cellStyle name="Currency 5 5 9" xfId="2781" xr:uid="{00000000-0005-0000-0000-0000040B0000}"/>
    <cellStyle name="Currency 5 5 9 2" xfId="7004" xr:uid="{00000000-0005-0000-0000-0000831B0000}"/>
    <cellStyle name="Currency 5 5 9 2 2" xfId="16595" xr:uid="{3A4A36A9-2BC5-46AD-9A3F-3946F51C5A24}"/>
    <cellStyle name="Currency 5 5 9 3" xfId="12373" xr:uid="{6360513A-A7BB-4034-8D27-101DC07306C0}"/>
    <cellStyle name="Currency 5 6" xfId="194" xr:uid="{00000000-0005-0000-0000-0000DD000000}"/>
    <cellStyle name="Currency 5 6 10" xfId="8927" xr:uid="{00000000-0005-0000-0000-000006230000}"/>
    <cellStyle name="Currency 5 6 11" xfId="9806" xr:uid="{8A45F590-FA75-4FBB-B40C-C834D218A8F6}"/>
    <cellStyle name="Currency 5 6 2" xfId="708" xr:uid="{00000000-0005-0000-0000-0000EB020000}"/>
    <cellStyle name="Currency 5 6 2 2" xfId="2960" xr:uid="{00000000-0005-0000-0000-0000B70B0000}"/>
    <cellStyle name="Currency 5 6 2 2 2" xfId="7182" xr:uid="{00000000-0005-0000-0000-0000351C0000}"/>
    <cellStyle name="Currency 5 6 2 2 2 2" xfId="16773" xr:uid="{C8E27182-C647-4A43-9CEA-2BD2467955E4}"/>
    <cellStyle name="Currency 5 6 2 2 3" xfId="12552" xr:uid="{60CED495-80A9-43DD-9A93-95D093E0B3A8}"/>
    <cellStyle name="Currency 5 6 2 3" xfId="5037" xr:uid="{00000000-0005-0000-0000-0000D4130000}"/>
    <cellStyle name="Currency 5 6 2 3 2" xfId="14628" xr:uid="{F019F39E-F4C8-44B9-B2BD-46594551847B}"/>
    <cellStyle name="Currency 5 6 2 4" xfId="9352" xr:uid="{00000000-0005-0000-0000-0000AF240000}"/>
    <cellStyle name="Currency 5 6 2 5" xfId="10301" xr:uid="{758FED7E-66FC-4B11-8866-E18B8C71256E}"/>
    <cellStyle name="Currency 5 6 3" xfId="1142" xr:uid="{00000000-0005-0000-0000-00009D040000}"/>
    <cellStyle name="Currency 5 6 3 2" xfId="3373" xr:uid="{00000000-0005-0000-0000-0000540D0000}"/>
    <cellStyle name="Currency 5 6 3 2 2" xfId="7595" xr:uid="{00000000-0005-0000-0000-0000D21D0000}"/>
    <cellStyle name="Currency 5 6 3 2 2 2" xfId="17186" xr:uid="{65C653DF-4F5B-4C31-8983-633931E49269}"/>
    <cellStyle name="Currency 5 6 3 2 3" xfId="12965" xr:uid="{CFB70AF6-4A72-4171-AAC4-19E79E99AB8D}"/>
    <cellStyle name="Currency 5 6 3 3" xfId="5450" xr:uid="{00000000-0005-0000-0000-000071150000}"/>
    <cellStyle name="Currency 5 6 3 3 2" xfId="15041" xr:uid="{5BDFCCBD-64E3-46E6-A1C9-5587B4A08A46}"/>
    <cellStyle name="Currency 5 6 3 4" xfId="10735" xr:uid="{D26407C3-EAD0-42DB-85A0-F6D37EA3822C}"/>
    <cellStyle name="Currency 5 6 4" xfId="1556" xr:uid="{00000000-0005-0000-0000-00003B060000}"/>
    <cellStyle name="Currency 5 6 4 2" xfId="3786" xr:uid="{00000000-0005-0000-0000-0000F10E0000}"/>
    <cellStyle name="Currency 5 6 4 2 2" xfId="8008" xr:uid="{00000000-0005-0000-0000-00006F1F0000}"/>
    <cellStyle name="Currency 5 6 4 2 2 2" xfId="17599" xr:uid="{C89ABA09-E1EB-4A0F-9C2B-A7E6DD21C685}"/>
    <cellStyle name="Currency 5 6 4 2 3" xfId="13378" xr:uid="{B670AE66-7DCE-483E-A4A1-4FB384491B17}"/>
    <cellStyle name="Currency 5 6 4 3" xfId="5863" xr:uid="{00000000-0005-0000-0000-00000E170000}"/>
    <cellStyle name="Currency 5 6 4 3 2" xfId="15454" xr:uid="{D64DFB9A-C99E-41C9-850F-01F07C9ED04A}"/>
    <cellStyle name="Currency 5 6 4 4" xfId="11149" xr:uid="{52DDF106-3C01-4B5C-B01D-1903C57CD297}"/>
    <cellStyle name="Currency 5 6 5" xfId="1970" xr:uid="{00000000-0005-0000-0000-0000D9070000}"/>
    <cellStyle name="Currency 5 6 5 2" xfId="4199" xr:uid="{00000000-0005-0000-0000-00008E100000}"/>
    <cellStyle name="Currency 5 6 5 2 2" xfId="8421" xr:uid="{00000000-0005-0000-0000-00000C210000}"/>
    <cellStyle name="Currency 5 6 5 2 2 2" xfId="18012" xr:uid="{0CB40ED8-4939-4D71-A416-C980AE05BD55}"/>
    <cellStyle name="Currency 5 6 5 2 3" xfId="13791" xr:uid="{166E7943-F342-4632-B534-42E356DEB413}"/>
    <cellStyle name="Currency 5 6 5 3" xfId="6276" xr:uid="{00000000-0005-0000-0000-0000AB180000}"/>
    <cellStyle name="Currency 5 6 5 3 2" xfId="15867" xr:uid="{F495045A-0AFE-4C8F-A120-1DACBBE15FBA}"/>
    <cellStyle name="Currency 5 6 5 4" xfId="11562" xr:uid="{3FC14F30-A9F1-48E3-BD53-8C74B4377B04}"/>
    <cellStyle name="Currency 5 6 6" xfId="2405" xr:uid="{00000000-0005-0000-0000-00008C090000}"/>
    <cellStyle name="Currency 5 6 6 2" xfId="6689" xr:uid="{00000000-0005-0000-0000-0000481A0000}"/>
    <cellStyle name="Currency 5 6 6 2 2" xfId="16280" xr:uid="{327C8A11-D9BA-485F-9384-19F8852F3E9A}"/>
    <cellStyle name="Currency 5 6 6 3" xfId="11997" xr:uid="{743ED79E-3AD6-4CA7-91E5-E3B7AF448030}"/>
    <cellStyle name="Currency 5 6 7" xfId="2702" xr:uid="{00000000-0005-0000-0000-0000B50A0000}"/>
    <cellStyle name="Currency 5 6 7 2" xfId="12294" xr:uid="{2D1B5D8F-320B-472A-861D-23EA7044DE83}"/>
    <cellStyle name="Currency 5 6 8" xfId="2783" xr:uid="{00000000-0005-0000-0000-0000060B0000}"/>
    <cellStyle name="Currency 5 6 8 2" xfId="7006" xr:uid="{00000000-0005-0000-0000-0000851B0000}"/>
    <cellStyle name="Currency 5 6 8 2 2" xfId="16597" xr:uid="{82D90344-90DE-46FF-BFC0-47085A784816}"/>
    <cellStyle name="Currency 5 6 8 3" xfId="12375" xr:uid="{E3C53147-038B-44CE-AA4E-E29A19B95F67}"/>
    <cellStyle name="Currency 5 6 9" xfId="4623" xr:uid="{00000000-0005-0000-0000-000036120000}"/>
    <cellStyle name="Currency 5 6 9 2" xfId="14214" xr:uid="{9F2CB110-3972-4888-8F37-9E0CF881E34C}"/>
    <cellStyle name="Currency 5 7" xfId="195" xr:uid="{00000000-0005-0000-0000-0000DE000000}"/>
    <cellStyle name="Currency 5 7 10" xfId="9130" xr:uid="{00000000-0005-0000-0000-0000D1230000}"/>
    <cellStyle name="Currency 5 7 11" xfId="9807" xr:uid="{EC33B1F6-FD6B-4FF4-8C9C-C66E4B81D485}"/>
    <cellStyle name="Currency 5 7 2" xfId="709" xr:uid="{00000000-0005-0000-0000-0000EC020000}"/>
    <cellStyle name="Currency 5 7 2 2" xfId="2961" xr:uid="{00000000-0005-0000-0000-0000B80B0000}"/>
    <cellStyle name="Currency 5 7 2 2 2" xfId="7183" xr:uid="{00000000-0005-0000-0000-0000361C0000}"/>
    <cellStyle name="Currency 5 7 2 2 2 2" xfId="16774" xr:uid="{CBA2E002-848E-4EE8-B2DB-EE056EC07B3D}"/>
    <cellStyle name="Currency 5 7 2 2 3" xfId="12553" xr:uid="{D356E604-4D32-4F17-93F3-294C68784225}"/>
    <cellStyle name="Currency 5 7 2 3" xfId="5038" xr:uid="{00000000-0005-0000-0000-0000D5130000}"/>
    <cellStyle name="Currency 5 7 2 3 2" xfId="14629" xr:uid="{E027B305-C733-49A9-9FAB-42961AE874A6}"/>
    <cellStyle name="Currency 5 7 2 4" xfId="9562" xr:uid="{00000000-0005-0000-0000-000081250000}"/>
    <cellStyle name="Currency 5 7 2 5" xfId="10302" xr:uid="{BDBAD673-4A20-4683-A5ED-C03BE9A7A764}"/>
    <cellStyle name="Currency 5 7 3" xfId="1143" xr:uid="{00000000-0005-0000-0000-00009E040000}"/>
    <cellStyle name="Currency 5 7 3 2" xfId="3374" xr:uid="{00000000-0005-0000-0000-0000550D0000}"/>
    <cellStyle name="Currency 5 7 3 2 2" xfId="7596" xr:uid="{00000000-0005-0000-0000-0000D31D0000}"/>
    <cellStyle name="Currency 5 7 3 2 2 2" xfId="17187" xr:uid="{E3E9112C-7A3B-45A7-A2FC-EA3006C7B8DD}"/>
    <cellStyle name="Currency 5 7 3 2 3" xfId="12966" xr:uid="{5889B70F-ECDE-4A33-B549-4AE3EFB5E4CC}"/>
    <cellStyle name="Currency 5 7 3 3" xfId="5451" xr:uid="{00000000-0005-0000-0000-000072150000}"/>
    <cellStyle name="Currency 5 7 3 3 2" xfId="15042" xr:uid="{FEA836D0-DFEF-466D-9CD1-831C37BEEFB9}"/>
    <cellStyle name="Currency 5 7 3 4" xfId="10736" xr:uid="{70DF38D7-0526-43DE-BCEE-0FE98494DEA9}"/>
    <cellStyle name="Currency 5 7 4" xfId="1557" xr:uid="{00000000-0005-0000-0000-00003C060000}"/>
    <cellStyle name="Currency 5 7 4 2" xfId="3787" xr:uid="{00000000-0005-0000-0000-0000F20E0000}"/>
    <cellStyle name="Currency 5 7 4 2 2" xfId="8009" xr:uid="{00000000-0005-0000-0000-0000701F0000}"/>
    <cellStyle name="Currency 5 7 4 2 2 2" xfId="17600" xr:uid="{510326EB-6036-4D5A-8A67-99337D1BA42A}"/>
    <cellStyle name="Currency 5 7 4 2 3" xfId="13379" xr:uid="{033CCEC4-BFFF-47F2-A48E-2ED0777FEE0B}"/>
    <cellStyle name="Currency 5 7 4 3" xfId="5864" xr:uid="{00000000-0005-0000-0000-00000F170000}"/>
    <cellStyle name="Currency 5 7 4 3 2" xfId="15455" xr:uid="{6C7F0332-1AE4-4434-9B43-7AADDBBA131E}"/>
    <cellStyle name="Currency 5 7 4 4" xfId="11150" xr:uid="{96D4438C-5C72-446E-AB8D-DB648E0A23A4}"/>
    <cellStyle name="Currency 5 7 5" xfId="1971" xr:uid="{00000000-0005-0000-0000-0000DA070000}"/>
    <cellStyle name="Currency 5 7 5 2" xfId="4200" xr:uid="{00000000-0005-0000-0000-00008F100000}"/>
    <cellStyle name="Currency 5 7 5 2 2" xfId="8422" xr:uid="{00000000-0005-0000-0000-00000D210000}"/>
    <cellStyle name="Currency 5 7 5 2 2 2" xfId="18013" xr:uid="{12264EBC-ADE2-4146-A1DF-9705EEAE2ED8}"/>
    <cellStyle name="Currency 5 7 5 2 3" xfId="13792" xr:uid="{7B915B7B-5A7A-439C-8C3D-E361794B76A6}"/>
    <cellStyle name="Currency 5 7 5 3" xfId="6277" xr:uid="{00000000-0005-0000-0000-0000AC180000}"/>
    <cellStyle name="Currency 5 7 5 3 2" xfId="15868" xr:uid="{2A59AF27-A877-4B9B-9369-6603D318427C}"/>
    <cellStyle name="Currency 5 7 5 4" xfId="11563" xr:uid="{5B9D0122-1628-4743-881B-3F92FDD6690C}"/>
    <cellStyle name="Currency 5 7 6" xfId="2406" xr:uid="{00000000-0005-0000-0000-00008D090000}"/>
    <cellStyle name="Currency 5 7 6 2" xfId="6690" xr:uid="{00000000-0005-0000-0000-0000491A0000}"/>
    <cellStyle name="Currency 5 7 6 2 2" xfId="16281" xr:uid="{4C2EB606-7775-413C-9644-FC57F3B18A9C}"/>
    <cellStyle name="Currency 5 7 6 3" xfId="11998" xr:uid="{EC6D0CCC-329E-4BE7-B148-F4CECF5FF901}"/>
    <cellStyle name="Currency 5 7 7" xfId="2703" xr:uid="{00000000-0005-0000-0000-0000B60A0000}"/>
    <cellStyle name="Currency 5 7 7 2" xfId="12295" xr:uid="{7FA27C28-659D-44C6-8D77-A3F4045929FF}"/>
    <cellStyle name="Currency 5 7 8" xfId="2784" xr:uid="{00000000-0005-0000-0000-0000070B0000}"/>
    <cellStyle name="Currency 5 7 8 2" xfId="7007" xr:uid="{00000000-0005-0000-0000-0000861B0000}"/>
    <cellStyle name="Currency 5 7 8 2 2" xfId="16598" xr:uid="{9FC99541-E26C-4C20-AF71-608F43CA6559}"/>
    <cellStyle name="Currency 5 7 8 3" xfId="12376" xr:uid="{9051DE03-53C3-4502-95F0-1942095A31AE}"/>
    <cellStyle name="Currency 5 7 9" xfId="4624" xr:uid="{00000000-0005-0000-0000-000037120000}"/>
    <cellStyle name="Currency 5 7 9 2" xfId="14215" xr:uid="{5DF85130-BB06-4166-BC4D-574A0C108C8E}"/>
    <cellStyle name="Currency 5 8" xfId="682" xr:uid="{00000000-0005-0000-0000-0000D1020000}"/>
    <cellStyle name="Currency 5 8 2" xfId="10275" xr:uid="{21CF05B0-EC9D-4576-BF01-09FDD2D16F7A}"/>
    <cellStyle name="Currency 5 9" xfId="8708" xr:uid="{00000000-0005-0000-0000-00002B220000}"/>
    <cellStyle name="Currency 6" xfId="196" xr:uid="{00000000-0005-0000-0000-0000DF000000}"/>
    <cellStyle name="Currency 6 2" xfId="197" xr:uid="{00000000-0005-0000-0000-0000E0000000}"/>
    <cellStyle name="Currency 6 2 2" xfId="9809" xr:uid="{DA23ADAB-78A7-42E5-AA90-BED7261A2FD6}"/>
    <cellStyle name="Currency 6 3" xfId="198" xr:uid="{00000000-0005-0000-0000-0000E1000000}"/>
    <cellStyle name="Currency 6 3 2" xfId="711" xr:uid="{00000000-0005-0000-0000-0000EE020000}"/>
    <cellStyle name="Currency 6 3 2 2" xfId="10304" xr:uid="{4A2CDF31-C3CC-4978-A35D-2BEC637C5B0B}"/>
    <cellStyle name="Currency 6 3 3" xfId="9810" xr:uid="{142EF8CB-4F83-4C62-AC28-FDD1C789F40D}"/>
    <cellStyle name="Currency 6 4" xfId="710" xr:uid="{00000000-0005-0000-0000-0000ED020000}"/>
    <cellStyle name="Currency 6 4 2" xfId="10303" xr:uid="{A1B542AE-CD16-4058-84B9-5EADDD97B4B0}"/>
    <cellStyle name="Currency 6 5" xfId="9808" xr:uid="{5CF00A7C-D4FC-43C5-A495-2D7D2B6970E1}"/>
    <cellStyle name="Currency 7" xfId="199" xr:uid="{00000000-0005-0000-0000-0000E2000000}"/>
    <cellStyle name="Currency 7 2" xfId="200" xr:uid="{00000000-0005-0000-0000-0000E3000000}"/>
    <cellStyle name="Currency 7 2 2" xfId="713" xr:uid="{00000000-0005-0000-0000-0000F0020000}"/>
    <cellStyle name="Currency 7 2 2 2" xfId="10306" xr:uid="{42AA3509-7E51-4DC3-A92A-58DD4672D655}"/>
    <cellStyle name="Currency 7 2 3" xfId="9812" xr:uid="{C747DADA-478D-4471-B6FF-A026FEF9D03F}"/>
    <cellStyle name="Currency 7 3" xfId="201" xr:uid="{00000000-0005-0000-0000-0000E4000000}"/>
    <cellStyle name="Currency 7 3 2" xfId="714" xr:uid="{00000000-0005-0000-0000-0000F1020000}"/>
    <cellStyle name="Currency 7 3 2 2" xfId="10307" xr:uid="{F187E86C-4370-41B1-A2C1-1E55FF19FCBE}"/>
    <cellStyle name="Currency 7 3 3" xfId="9813" xr:uid="{B225B571-F6EC-44FF-A96B-BD8D9E45D11B}"/>
    <cellStyle name="Currency 7 4" xfId="202" xr:uid="{00000000-0005-0000-0000-0000E5000000}"/>
    <cellStyle name="Currency 7 4 2" xfId="715" xr:uid="{00000000-0005-0000-0000-0000F2020000}"/>
    <cellStyle name="Currency 7 4 2 2" xfId="10308" xr:uid="{271D6C59-9A80-4352-BEA8-114E55FE644E}"/>
    <cellStyle name="Currency 7 4 3" xfId="9814" xr:uid="{DF98A77D-9BAA-4C4B-8F19-C3847D32462E}"/>
    <cellStyle name="Currency 7 5" xfId="712" xr:uid="{00000000-0005-0000-0000-0000EF020000}"/>
    <cellStyle name="Currency 7 5 2" xfId="10305" xr:uid="{413C44F9-4546-414C-A115-489E06AA2488}"/>
    <cellStyle name="Currency 7 6" xfId="9811" xr:uid="{F941319B-D65A-42B5-BC96-ACFD9F840597}"/>
    <cellStyle name="Currency 8" xfId="203" xr:uid="{00000000-0005-0000-0000-0000E6000000}"/>
    <cellStyle name="Currency 8 2" xfId="204" xr:uid="{00000000-0005-0000-0000-0000E7000000}"/>
    <cellStyle name="Currency 8 2 2" xfId="717" xr:uid="{00000000-0005-0000-0000-0000F4020000}"/>
    <cellStyle name="Currency 8 2 2 2" xfId="10310" xr:uid="{169A901C-6ACE-466B-A985-E5915427A630}"/>
    <cellStyle name="Currency 8 2 3" xfId="9816" xr:uid="{297AB817-A29E-4239-B7C3-33DEDC6CD5DF}"/>
    <cellStyle name="Currency 8 3" xfId="716" xr:uid="{00000000-0005-0000-0000-0000F3020000}"/>
    <cellStyle name="Currency 8 3 2" xfId="10309" xr:uid="{EB6AD915-66A4-4698-A98D-F3D61C12B0B2}"/>
    <cellStyle name="Currency 8 4" xfId="9815" xr:uid="{6E839FD4-99DE-475E-9335-0FD1F1BFD743}"/>
    <cellStyle name="Currency 9" xfId="205" xr:uid="{00000000-0005-0000-0000-0000E8000000}"/>
    <cellStyle name="Currency 9 2" xfId="206" xr:uid="{00000000-0005-0000-0000-0000E9000000}"/>
    <cellStyle name="Currency 9 2 2" xfId="719" xr:uid="{00000000-0005-0000-0000-0000F6020000}"/>
    <cellStyle name="Currency 9 2 2 2" xfId="10312" xr:uid="{467B65D7-49C3-4B26-89FE-D0796FC34788}"/>
    <cellStyle name="Currency 9 2 3" xfId="9818" xr:uid="{48B794FC-2EA1-4E71-99D7-AD7D9B1C18E5}"/>
    <cellStyle name="Currency 9 3" xfId="718" xr:uid="{00000000-0005-0000-0000-0000F5020000}"/>
    <cellStyle name="Currency 9 3 2" xfId="10311" xr:uid="{4B4A709F-9B10-4B80-A3AF-3BD514A27D3E}"/>
    <cellStyle name="Currency 9 4" xfId="9817" xr:uid="{28F405B7-B2A5-4AF5-9073-A8503C15007E}"/>
    <cellStyle name="Explanatory Text" xfId="9586" builtinId="53" customBuiltin="1"/>
    <cellStyle name="Good" xfId="9578" builtinId="26" customBuiltin="1"/>
    <cellStyle name="Heading 1" xfId="9574" builtinId="16" customBuiltin="1"/>
    <cellStyle name="Heading 1 2" xfId="207" xr:uid="{00000000-0005-0000-0000-0000ED000000}"/>
    <cellStyle name="Heading 1 2 2" xfId="9819" xr:uid="{1E4288EC-996A-4532-BE92-3470F9B337F4}"/>
    <cellStyle name="Heading 2" xfId="9575" builtinId="17" customBuiltin="1"/>
    <cellStyle name="Heading 2 2" xfId="208" xr:uid="{00000000-0005-0000-0000-0000EF000000}"/>
    <cellStyle name="Heading 2 2 2" xfId="9820" xr:uid="{67F264A2-8457-4705-A16F-1FECC8BEA1DD}"/>
    <cellStyle name="Heading 3" xfId="9576" builtinId="18" customBuiltin="1"/>
    <cellStyle name="Heading 3 2" xfId="209" xr:uid="{00000000-0005-0000-0000-0000F1000000}"/>
    <cellStyle name="Heading 3 2 2" xfId="9821" xr:uid="{0BBD17CD-2BF2-44CC-B1C0-5533534ECC07}"/>
    <cellStyle name="Heading 4" xfId="9577" builtinId="19" customBuiltin="1"/>
    <cellStyle name="Heading 4 2" xfId="210" xr:uid="{00000000-0005-0000-0000-0000F3000000}"/>
    <cellStyle name="Heading 4 2 2" xfId="9822" xr:uid="{EE506029-9C43-44F0-AF3D-8DE445838BEC}"/>
    <cellStyle name="Hyperlink" xfId="211" builtinId="8"/>
    <cellStyle name="Hyperlink 2" xfId="212" xr:uid="{00000000-0005-0000-0000-0000F5000000}"/>
    <cellStyle name="Hyperlink 2 2" xfId="213" xr:uid="{00000000-0005-0000-0000-0000F6000000}"/>
    <cellStyle name="Hyperlink 2 2 2" xfId="9825" xr:uid="{0A7672FD-42C4-4519-8688-950BB4C7969C}"/>
    <cellStyle name="Hyperlink 2 3" xfId="9824" xr:uid="{8642B563-C824-4F01-9BF4-84FB044AB38B}"/>
    <cellStyle name="Hyperlink 3" xfId="9823" xr:uid="{6ED5E670-2E9F-4B43-8F27-C2BF46E5A5EE}"/>
    <cellStyle name="Input" xfId="9580" builtinId="20" customBuiltin="1"/>
    <cellStyle name="Label" xfId="214" xr:uid="{00000000-0005-0000-0000-0000F8000000}"/>
    <cellStyle name="Label 2" xfId="9826" xr:uid="{7AD56AAE-B8E0-4079-A626-A04DCA9F8FC1}"/>
    <cellStyle name="Label No Shade" xfId="215" xr:uid="{00000000-0005-0000-0000-0000F9000000}"/>
    <cellStyle name="Label No Shade 2" xfId="9827" xr:uid="{AA207A75-FD4F-4532-AD37-24692EB75466}"/>
    <cellStyle name="Label Shaded" xfId="216" xr:uid="{00000000-0005-0000-0000-0000FA000000}"/>
    <cellStyle name="Label Shaded 2" xfId="9828" xr:uid="{5471B267-2D2B-4926-BB71-F511C5C0FFF7}"/>
    <cellStyle name="Linked Cell" xfId="9583" builtinId="24" customBuiltin="1"/>
    <cellStyle name="Neutral 2" xfId="9829" xr:uid="{C0F3E4B3-44A4-4954-864E-A846267CCF14}"/>
    <cellStyle name="Normal" xfId="0" builtinId="0"/>
    <cellStyle name="Normal 10" xfId="217" xr:uid="{00000000-0005-0000-0000-0000FD000000}"/>
    <cellStyle name="Normal 10 2" xfId="218" xr:uid="{00000000-0005-0000-0000-0000FE000000}"/>
    <cellStyle name="Normal 10 2 2" xfId="9830" xr:uid="{32AE7993-3BD0-4286-BC81-011052792A82}"/>
    <cellStyle name="Normal 10 3" xfId="219" xr:uid="{00000000-0005-0000-0000-0000FF000000}"/>
    <cellStyle name="Normal 11" xfId="220" xr:uid="{00000000-0005-0000-0000-000000010000}"/>
    <cellStyle name="Normal 11 2" xfId="221" xr:uid="{00000000-0005-0000-0000-000001010000}"/>
    <cellStyle name="Normal 11 2 2" xfId="9832" xr:uid="{DE8E3211-A76E-462C-AA32-76EA5CC85B28}"/>
    <cellStyle name="Normal 11 2 3" xfId="530" xr:uid="{00000000-0005-0000-0000-000039020000}"/>
    <cellStyle name="Normal 11 2 3 2" xfId="9563" xr:uid="{00000000-0005-0000-0000-000082250000}"/>
    <cellStyle name="Normal 11 2 3 3" xfId="10123" xr:uid="{B6984C56-63E4-4BF8-8380-1AD36D79A2DE}"/>
    <cellStyle name="Normal 11 3" xfId="222" xr:uid="{00000000-0005-0000-0000-000002010000}"/>
    <cellStyle name="Normal 11 3 2" xfId="720" xr:uid="{00000000-0005-0000-0000-0000F7020000}"/>
    <cellStyle name="Normal 11 3 2 2" xfId="10313" xr:uid="{E8C6B87E-DD6A-4346-84B9-E2B0B4137BB8}"/>
    <cellStyle name="Normal 11 3 3" xfId="9833" xr:uid="{94F63267-7081-4871-8546-D1EBAB23DD51}"/>
    <cellStyle name="Normal 11 4" xfId="9831" xr:uid="{77D05831-5547-4F1B-8A58-230F7B25B762}"/>
    <cellStyle name="Normal 12" xfId="223" xr:uid="{00000000-0005-0000-0000-000003010000}"/>
    <cellStyle name="Normal 12 10" xfId="2408" xr:uid="{00000000-0005-0000-0000-00008F090000}"/>
    <cellStyle name="Normal 12 10 2" xfId="6691" xr:uid="{00000000-0005-0000-0000-00004A1A0000}"/>
    <cellStyle name="Normal 12 10 2 2" xfId="16282" xr:uid="{A84710CF-C87E-4780-B2FE-9FBD5BC43F05}"/>
    <cellStyle name="Normal 12 10 3" xfId="12000" xr:uid="{CD5076EE-3B6D-436B-96FE-F3479C5C05EC}"/>
    <cellStyle name="Normal 12 11" xfId="4625" xr:uid="{00000000-0005-0000-0000-000038120000}"/>
    <cellStyle name="Normal 12 11 2" xfId="14216" xr:uid="{CE575F57-E6E3-4C09-ABE0-31965D4244EB}"/>
    <cellStyle name="Normal 12 12" xfId="8731" xr:uid="{00000000-0005-0000-0000-000042220000}"/>
    <cellStyle name="Normal 12 13" xfId="9834" xr:uid="{A8D855DE-547D-446B-A6C4-42406195E72D}"/>
    <cellStyle name="Normal 12 2" xfId="224" xr:uid="{00000000-0005-0000-0000-000004010000}"/>
    <cellStyle name="Normal 12 2 10" xfId="8772" xr:uid="{00000000-0005-0000-0000-00006B220000}"/>
    <cellStyle name="Normal 12 2 11" xfId="9835" xr:uid="{8BF34B3C-F626-436D-B1B9-196B2B649BD4}"/>
    <cellStyle name="Normal 12 2 2" xfId="225" xr:uid="{00000000-0005-0000-0000-000005010000}"/>
    <cellStyle name="Normal 12 2 2 10" xfId="9836" xr:uid="{E18E7943-62C1-4CFB-9896-F8E43C9E7A1E}"/>
    <cellStyle name="Normal 12 2 2 2" xfId="226" xr:uid="{00000000-0005-0000-0000-000006010000}"/>
    <cellStyle name="Normal 12 2 2 2 2" xfId="724" xr:uid="{00000000-0005-0000-0000-0000FB020000}"/>
    <cellStyle name="Normal 12 2 2 2 2 2" xfId="2965" xr:uid="{00000000-0005-0000-0000-0000BC0B0000}"/>
    <cellStyle name="Normal 12 2 2 2 2 2 2" xfId="7187" xr:uid="{00000000-0005-0000-0000-00003A1C0000}"/>
    <cellStyle name="Normal 12 2 2 2 2 2 2 2" xfId="16778" xr:uid="{BB3CE467-7F6C-4295-A73F-691908100C98}"/>
    <cellStyle name="Normal 12 2 2 2 2 2 3" xfId="12557" xr:uid="{A5A611C7-443C-4B54-80C8-DC6640AF1819}"/>
    <cellStyle name="Normal 12 2 2 2 2 3" xfId="5042" xr:uid="{00000000-0005-0000-0000-0000D9130000}"/>
    <cellStyle name="Normal 12 2 2 2 2 3 2" xfId="14633" xr:uid="{C571A007-8B74-415A-AFD2-7692D15D42E0}"/>
    <cellStyle name="Normal 12 2 2 2 2 4" xfId="9507" xr:uid="{00000000-0005-0000-0000-00004A250000}"/>
    <cellStyle name="Normal 12 2 2 2 2 5" xfId="10317" xr:uid="{EDF7A31D-9D34-455F-B189-07E8616BF04C}"/>
    <cellStyle name="Normal 12 2 2 2 3" xfId="1147" xr:uid="{00000000-0005-0000-0000-0000A2040000}"/>
    <cellStyle name="Normal 12 2 2 2 3 2" xfId="3378" xr:uid="{00000000-0005-0000-0000-0000590D0000}"/>
    <cellStyle name="Normal 12 2 2 2 3 2 2" xfId="7600" xr:uid="{00000000-0005-0000-0000-0000D71D0000}"/>
    <cellStyle name="Normal 12 2 2 2 3 2 2 2" xfId="17191" xr:uid="{9875007C-6144-4B8E-AB1A-558322DCA5D2}"/>
    <cellStyle name="Normal 12 2 2 2 3 2 3" xfId="12970" xr:uid="{B356F203-C3CF-47B3-8A57-1FC89D1D1A00}"/>
    <cellStyle name="Normal 12 2 2 2 3 3" xfId="5455" xr:uid="{00000000-0005-0000-0000-000076150000}"/>
    <cellStyle name="Normal 12 2 2 2 3 3 2" xfId="15046" xr:uid="{4AB77F34-84E5-4E9A-B3B0-535BA814CF10}"/>
    <cellStyle name="Normal 12 2 2 2 3 4" xfId="10740" xr:uid="{68ED5EDC-AB76-4F55-AC8B-4923D3723A16}"/>
    <cellStyle name="Normal 12 2 2 2 4" xfId="1561" xr:uid="{00000000-0005-0000-0000-000040060000}"/>
    <cellStyle name="Normal 12 2 2 2 4 2" xfId="3791" xr:uid="{00000000-0005-0000-0000-0000F60E0000}"/>
    <cellStyle name="Normal 12 2 2 2 4 2 2" xfId="8013" xr:uid="{00000000-0005-0000-0000-0000741F0000}"/>
    <cellStyle name="Normal 12 2 2 2 4 2 2 2" xfId="17604" xr:uid="{F44E26FE-375C-49BA-9BE0-6A552909B9F9}"/>
    <cellStyle name="Normal 12 2 2 2 4 2 3" xfId="13383" xr:uid="{B72CA60D-D7DE-4535-AB26-8C667367B025}"/>
    <cellStyle name="Normal 12 2 2 2 4 3" xfId="5868" xr:uid="{00000000-0005-0000-0000-000013170000}"/>
    <cellStyle name="Normal 12 2 2 2 4 3 2" xfId="15459" xr:uid="{C9DA6784-7506-4566-B1D9-4DB3C9049FCC}"/>
    <cellStyle name="Normal 12 2 2 2 4 4" xfId="11154" xr:uid="{AB189AC8-5F10-4F3E-92AB-4E1D9E9476BD}"/>
    <cellStyle name="Normal 12 2 2 2 5" xfId="1975" xr:uid="{00000000-0005-0000-0000-0000DE070000}"/>
    <cellStyle name="Normal 12 2 2 2 5 2" xfId="4204" xr:uid="{00000000-0005-0000-0000-000093100000}"/>
    <cellStyle name="Normal 12 2 2 2 5 2 2" xfId="8426" xr:uid="{00000000-0005-0000-0000-000011210000}"/>
    <cellStyle name="Normal 12 2 2 2 5 2 2 2" xfId="18017" xr:uid="{3BE0CF06-FAD9-4E0F-B596-EE85DE13A16A}"/>
    <cellStyle name="Normal 12 2 2 2 5 2 3" xfId="13796" xr:uid="{BF4664A5-76B9-4A9B-A15D-81611F53F5FD}"/>
    <cellStyle name="Normal 12 2 2 2 5 3" xfId="6281" xr:uid="{00000000-0005-0000-0000-0000B0180000}"/>
    <cellStyle name="Normal 12 2 2 2 5 3 2" xfId="15872" xr:uid="{17CF3BDC-8013-4159-BAF9-AE66073E0B22}"/>
    <cellStyle name="Normal 12 2 2 2 5 4" xfId="11567" xr:uid="{A8380A31-B5D3-4615-AD47-BFBDA57CA346}"/>
    <cellStyle name="Normal 12 2 2 2 6" xfId="2411" xr:uid="{00000000-0005-0000-0000-000092090000}"/>
    <cellStyle name="Normal 12 2 2 2 6 2" xfId="6694" xr:uid="{00000000-0005-0000-0000-00004D1A0000}"/>
    <cellStyle name="Normal 12 2 2 2 6 2 2" xfId="16285" xr:uid="{4FF7B37F-60BD-4E3D-A453-B8174426E89E}"/>
    <cellStyle name="Normal 12 2 2 2 6 3" xfId="12003" xr:uid="{A12A52B4-3482-4F00-B6FC-378E49017B4A}"/>
    <cellStyle name="Normal 12 2 2 2 7" xfId="4628" xr:uid="{00000000-0005-0000-0000-00003B120000}"/>
    <cellStyle name="Normal 12 2 2 2 7 2" xfId="14219" xr:uid="{7B2AEA31-F3A7-419D-8806-B21582578A53}"/>
    <cellStyle name="Normal 12 2 2 2 8" xfId="9082" xr:uid="{00000000-0005-0000-0000-0000A1230000}"/>
    <cellStyle name="Normal 12 2 2 2 9" xfId="9837" xr:uid="{C1F6F086-29A7-44B9-9A98-D96F711B647B}"/>
    <cellStyle name="Normal 12 2 2 3" xfId="723" xr:uid="{00000000-0005-0000-0000-0000FA020000}"/>
    <cellStyle name="Normal 12 2 2 3 2" xfId="2964" xr:uid="{00000000-0005-0000-0000-0000BB0B0000}"/>
    <cellStyle name="Normal 12 2 2 3 2 2" xfId="7186" xr:uid="{00000000-0005-0000-0000-0000391C0000}"/>
    <cellStyle name="Normal 12 2 2 3 2 2 2" xfId="16777" xr:uid="{B7EFBDC4-A2BA-4558-86C2-0336005688E9}"/>
    <cellStyle name="Normal 12 2 2 3 2 3" xfId="12556" xr:uid="{6E5A1657-BDB2-49ED-89CB-5CC5C6D2E0CC}"/>
    <cellStyle name="Normal 12 2 2 3 3" xfId="5041" xr:uid="{00000000-0005-0000-0000-0000D8130000}"/>
    <cellStyle name="Normal 12 2 2 3 3 2" xfId="14632" xr:uid="{EE22CBF7-8D50-43C0-B07B-7AF0831076E5}"/>
    <cellStyle name="Normal 12 2 2 3 4" xfId="9300" xr:uid="{00000000-0005-0000-0000-00007B240000}"/>
    <cellStyle name="Normal 12 2 2 3 5" xfId="10316" xr:uid="{63B5FF5C-464F-4840-99AE-24405B9C4562}"/>
    <cellStyle name="Normal 12 2 2 4" xfId="1146" xr:uid="{00000000-0005-0000-0000-0000A1040000}"/>
    <cellStyle name="Normal 12 2 2 4 2" xfId="3377" xr:uid="{00000000-0005-0000-0000-0000580D0000}"/>
    <cellStyle name="Normal 12 2 2 4 2 2" xfId="7599" xr:uid="{00000000-0005-0000-0000-0000D61D0000}"/>
    <cellStyle name="Normal 12 2 2 4 2 2 2" xfId="17190" xr:uid="{E2030DAE-A0C1-4F3B-B940-56AAB4693DDC}"/>
    <cellStyle name="Normal 12 2 2 4 2 3" xfId="12969" xr:uid="{9665CC1D-6186-4C95-B67A-3AAB19629A79}"/>
    <cellStyle name="Normal 12 2 2 4 3" xfId="5454" xr:uid="{00000000-0005-0000-0000-000075150000}"/>
    <cellStyle name="Normal 12 2 2 4 3 2" xfId="15045" xr:uid="{9E267634-EB05-4622-B38D-BB39B97ADDFD}"/>
    <cellStyle name="Normal 12 2 2 4 4" xfId="10739" xr:uid="{5AFB7CEA-369D-457E-B634-C2419C24F53F}"/>
    <cellStyle name="Normal 12 2 2 5" xfId="1560" xr:uid="{00000000-0005-0000-0000-00003F060000}"/>
    <cellStyle name="Normal 12 2 2 5 2" xfId="3790" xr:uid="{00000000-0005-0000-0000-0000F50E0000}"/>
    <cellStyle name="Normal 12 2 2 5 2 2" xfId="8012" xr:uid="{00000000-0005-0000-0000-0000731F0000}"/>
    <cellStyle name="Normal 12 2 2 5 2 2 2" xfId="17603" xr:uid="{0CB5BEBD-E209-4DBE-99CC-D7D3B0B3A3A0}"/>
    <cellStyle name="Normal 12 2 2 5 2 3" xfId="13382" xr:uid="{4DC59530-38F6-4B15-B04E-6E233879543F}"/>
    <cellStyle name="Normal 12 2 2 5 3" xfId="5867" xr:uid="{00000000-0005-0000-0000-000012170000}"/>
    <cellStyle name="Normal 12 2 2 5 3 2" xfId="15458" xr:uid="{B5D6650B-855E-45CD-82AA-80AA3CB58FAC}"/>
    <cellStyle name="Normal 12 2 2 5 4" xfId="11153" xr:uid="{649F4A11-6571-4EC9-9999-8C855A8066CA}"/>
    <cellStyle name="Normal 12 2 2 6" xfId="1974" xr:uid="{00000000-0005-0000-0000-0000DD070000}"/>
    <cellStyle name="Normal 12 2 2 6 2" xfId="4203" xr:uid="{00000000-0005-0000-0000-000092100000}"/>
    <cellStyle name="Normal 12 2 2 6 2 2" xfId="8425" xr:uid="{00000000-0005-0000-0000-000010210000}"/>
    <cellStyle name="Normal 12 2 2 6 2 2 2" xfId="18016" xr:uid="{35FB4FEE-0E83-48DA-AD49-E436A3E90759}"/>
    <cellStyle name="Normal 12 2 2 6 2 3" xfId="13795" xr:uid="{F54C177B-EB00-4702-A45E-A8DB358DCC65}"/>
    <cellStyle name="Normal 12 2 2 6 3" xfId="6280" xr:uid="{00000000-0005-0000-0000-0000AF180000}"/>
    <cellStyle name="Normal 12 2 2 6 3 2" xfId="15871" xr:uid="{DCABD337-5123-40F6-91B3-6D0EC1524BEA}"/>
    <cellStyle name="Normal 12 2 2 6 4" xfId="11566" xr:uid="{1BF74F14-393B-4554-9492-F907DE70107A}"/>
    <cellStyle name="Normal 12 2 2 7" xfId="2410" xr:uid="{00000000-0005-0000-0000-000091090000}"/>
    <cellStyle name="Normal 12 2 2 7 2" xfId="6693" xr:uid="{00000000-0005-0000-0000-00004C1A0000}"/>
    <cellStyle name="Normal 12 2 2 7 2 2" xfId="16284" xr:uid="{92E45B19-2899-41CA-B7EE-ECB436285558}"/>
    <cellStyle name="Normal 12 2 2 7 3" xfId="12002" xr:uid="{AD1AFC8A-1F94-4CC9-8ECE-BB5F4CE8BEBD}"/>
    <cellStyle name="Normal 12 2 2 8" xfId="4627" xr:uid="{00000000-0005-0000-0000-00003A120000}"/>
    <cellStyle name="Normal 12 2 2 8 2" xfId="14218" xr:uid="{5B2582A8-6817-4E67-AE7E-B912791E76D9}"/>
    <cellStyle name="Normal 12 2 2 9" xfId="8875" xr:uid="{00000000-0005-0000-0000-0000D2220000}"/>
    <cellStyle name="Normal 12 2 3" xfId="227" xr:uid="{00000000-0005-0000-0000-000007010000}"/>
    <cellStyle name="Normal 12 2 3 2" xfId="725" xr:uid="{00000000-0005-0000-0000-0000FC020000}"/>
    <cellStyle name="Normal 12 2 3 2 2" xfId="2966" xr:uid="{00000000-0005-0000-0000-0000BD0B0000}"/>
    <cellStyle name="Normal 12 2 3 2 2 2" xfId="7188" xr:uid="{00000000-0005-0000-0000-00003B1C0000}"/>
    <cellStyle name="Normal 12 2 3 2 2 2 2" xfId="16779" xr:uid="{DABE6E64-A5F9-442E-BD5D-D49D593B1A2B}"/>
    <cellStyle name="Normal 12 2 3 2 2 3" xfId="12558" xr:uid="{B26D2291-DA38-4704-B8AB-93D245A97670}"/>
    <cellStyle name="Normal 12 2 3 2 3" xfId="5043" xr:uid="{00000000-0005-0000-0000-0000DA130000}"/>
    <cellStyle name="Normal 12 2 3 2 3 2" xfId="14634" xr:uid="{266D408A-A606-4612-B857-1752B66EB0DF}"/>
    <cellStyle name="Normal 12 2 3 2 4" xfId="9404" xr:uid="{00000000-0005-0000-0000-0000E3240000}"/>
    <cellStyle name="Normal 12 2 3 2 5" xfId="10318" xr:uid="{59D08F19-3C1F-46A4-9C3E-FD327A9C08BC}"/>
    <cellStyle name="Normal 12 2 3 3" xfId="1148" xr:uid="{00000000-0005-0000-0000-0000A3040000}"/>
    <cellStyle name="Normal 12 2 3 3 2" xfId="3379" xr:uid="{00000000-0005-0000-0000-00005A0D0000}"/>
    <cellStyle name="Normal 12 2 3 3 2 2" xfId="7601" xr:uid="{00000000-0005-0000-0000-0000D81D0000}"/>
    <cellStyle name="Normal 12 2 3 3 2 2 2" xfId="17192" xr:uid="{9C5C3AA2-8E47-4479-9D70-B8C4A31E35CB}"/>
    <cellStyle name="Normal 12 2 3 3 2 3" xfId="12971" xr:uid="{D1EC761F-D31E-4013-B549-54A56934796C}"/>
    <cellStyle name="Normal 12 2 3 3 3" xfId="5456" xr:uid="{00000000-0005-0000-0000-000077150000}"/>
    <cellStyle name="Normal 12 2 3 3 3 2" xfId="15047" xr:uid="{F1F204BA-BD08-476F-97F6-8370905FD67D}"/>
    <cellStyle name="Normal 12 2 3 3 4" xfId="10741" xr:uid="{8259B18A-7A39-4AE4-BA6D-1EA48B08BCF3}"/>
    <cellStyle name="Normal 12 2 3 4" xfId="1562" xr:uid="{00000000-0005-0000-0000-000041060000}"/>
    <cellStyle name="Normal 12 2 3 4 2" xfId="3792" xr:uid="{00000000-0005-0000-0000-0000F70E0000}"/>
    <cellStyle name="Normal 12 2 3 4 2 2" xfId="8014" xr:uid="{00000000-0005-0000-0000-0000751F0000}"/>
    <cellStyle name="Normal 12 2 3 4 2 2 2" xfId="17605" xr:uid="{4040FBC3-53F4-4F6F-BAAB-602DB6DA6864}"/>
    <cellStyle name="Normal 12 2 3 4 2 3" xfId="13384" xr:uid="{CD25B532-6585-4399-9574-02626D51A910}"/>
    <cellStyle name="Normal 12 2 3 4 3" xfId="5869" xr:uid="{00000000-0005-0000-0000-000014170000}"/>
    <cellStyle name="Normal 12 2 3 4 3 2" xfId="15460" xr:uid="{46EBF32D-7665-47D7-89FA-97B594DE5905}"/>
    <cellStyle name="Normal 12 2 3 4 4" xfId="11155" xr:uid="{BE333B1B-5E06-43FE-BBDD-F896ACB306AF}"/>
    <cellStyle name="Normal 12 2 3 5" xfId="1976" xr:uid="{00000000-0005-0000-0000-0000DF070000}"/>
    <cellStyle name="Normal 12 2 3 5 2" xfId="4205" xr:uid="{00000000-0005-0000-0000-000094100000}"/>
    <cellStyle name="Normal 12 2 3 5 2 2" xfId="8427" xr:uid="{00000000-0005-0000-0000-000012210000}"/>
    <cellStyle name="Normal 12 2 3 5 2 2 2" xfId="18018" xr:uid="{AA7D9673-F343-46B4-A132-F2EA67AA047A}"/>
    <cellStyle name="Normal 12 2 3 5 2 3" xfId="13797" xr:uid="{AB900246-5A43-4441-83A1-A884D43475CB}"/>
    <cellStyle name="Normal 12 2 3 5 3" xfId="6282" xr:uid="{00000000-0005-0000-0000-0000B1180000}"/>
    <cellStyle name="Normal 12 2 3 5 3 2" xfId="15873" xr:uid="{2294F8DC-95C3-4947-A372-8EFE7B08740B}"/>
    <cellStyle name="Normal 12 2 3 5 4" xfId="11568" xr:uid="{2433C55E-F9B6-487B-A6AE-8B724F98B0CF}"/>
    <cellStyle name="Normal 12 2 3 6" xfId="2412" xr:uid="{00000000-0005-0000-0000-000093090000}"/>
    <cellStyle name="Normal 12 2 3 6 2" xfId="6695" xr:uid="{00000000-0005-0000-0000-00004E1A0000}"/>
    <cellStyle name="Normal 12 2 3 6 2 2" xfId="16286" xr:uid="{93ED3B43-89E5-4912-B53C-3AD89317AE2F}"/>
    <cellStyle name="Normal 12 2 3 6 3" xfId="12004" xr:uid="{0FD9C4C4-B26A-4FCA-BC84-687A453C4830}"/>
    <cellStyle name="Normal 12 2 3 7" xfId="4629" xr:uid="{00000000-0005-0000-0000-00003C120000}"/>
    <cellStyle name="Normal 12 2 3 7 2" xfId="14220" xr:uid="{3BA4FDDE-F77A-4E27-994E-BEFFD4D86426}"/>
    <cellStyle name="Normal 12 2 3 8" xfId="8979" xr:uid="{00000000-0005-0000-0000-00003A230000}"/>
    <cellStyle name="Normal 12 2 3 9" xfId="9838" xr:uid="{12946D6D-1311-4BA3-8D0F-8BC3378B4BCD}"/>
    <cellStyle name="Normal 12 2 4" xfId="722" xr:uid="{00000000-0005-0000-0000-0000F9020000}"/>
    <cellStyle name="Normal 12 2 4 2" xfId="2963" xr:uid="{00000000-0005-0000-0000-0000BA0B0000}"/>
    <cellStyle name="Normal 12 2 4 2 2" xfId="7185" xr:uid="{00000000-0005-0000-0000-0000381C0000}"/>
    <cellStyle name="Normal 12 2 4 2 2 2" xfId="16776" xr:uid="{B2EEB3C8-D57D-4526-B943-3218D3BEB80D}"/>
    <cellStyle name="Normal 12 2 4 2 3" xfId="12555" xr:uid="{35E9A2C5-3950-453E-B8F1-2C06EAF18F54}"/>
    <cellStyle name="Normal 12 2 4 3" xfId="5040" xr:uid="{00000000-0005-0000-0000-0000D7130000}"/>
    <cellStyle name="Normal 12 2 4 3 2" xfId="14631" xr:uid="{13549DCE-8036-49D2-94E7-7ED81924FE44}"/>
    <cellStyle name="Normal 12 2 4 4" xfId="9197" xr:uid="{00000000-0005-0000-0000-000014240000}"/>
    <cellStyle name="Normal 12 2 4 5" xfId="10315" xr:uid="{C5E1BB0B-2B41-44C0-A011-AE0DAB971345}"/>
    <cellStyle name="Normal 12 2 5" xfId="1145" xr:uid="{00000000-0005-0000-0000-0000A0040000}"/>
    <cellStyle name="Normal 12 2 5 2" xfId="3376" xr:uid="{00000000-0005-0000-0000-0000570D0000}"/>
    <cellStyle name="Normal 12 2 5 2 2" xfId="7598" xr:uid="{00000000-0005-0000-0000-0000D51D0000}"/>
    <cellStyle name="Normal 12 2 5 2 2 2" xfId="17189" xr:uid="{33DFBF5B-9A75-4D5B-9B81-34CBDAD3EFE6}"/>
    <cellStyle name="Normal 12 2 5 2 3" xfId="12968" xr:uid="{6B6B994A-908D-42D6-9C05-8CCC27C1FE4D}"/>
    <cellStyle name="Normal 12 2 5 3" xfId="5453" xr:uid="{00000000-0005-0000-0000-000074150000}"/>
    <cellStyle name="Normal 12 2 5 3 2" xfId="15044" xr:uid="{7BBDEE21-A654-4363-ACE6-B2C834F1D553}"/>
    <cellStyle name="Normal 12 2 5 4" xfId="10738" xr:uid="{C1F8850B-D572-4D78-AF68-ED6FC6740952}"/>
    <cellStyle name="Normal 12 2 6" xfId="1559" xr:uid="{00000000-0005-0000-0000-00003E060000}"/>
    <cellStyle name="Normal 12 2 6 2" xfId="3789" xr:uid="{00000000-0005-0000-0000-0000F40E0000}"/>
    <cellStyle name="Normal 12 2 6 2 2" xfId="8011" xr:uid="{00000000-0005-0000-0000-0000721F0000}"/>
    <cellStyle name="Normal 12 2 6 2 2 2" xfId="17602" xr:uid="{57C4A34D-6CA5-476C-9A22-BCCCF50A89F4}"/>
    <cellStyle name="Normal 12 2 6 2 3" xfId="13381" xr:uid="{A40ACE37-AB48-4B95-A59F-C2A10C87FC45}"/>
    <cellStyle name="Normal 12 2 6 3" xfId="5866" xr:uid="{00000000-0005-0000-0000-000011170000}"/>
    <cellStyle name="Normal 12 2 6 3 2" xfId="15457" xr:uid="{E325F765-EDD9-4672-959F-9D2545D9EF1D}"/>
    <cellStyle name="Normal 12 2 6 4" xfId="11152" xr:uid="{CD5295E8-A98E-4726-A5DD-6F1EE24D786A}"/>
    <cellStyle name="Normal 12 2 7" xfId="1973" xr:uid="{00000000-0005-0000-0000-0000DC070000}"/>
    <cellStyle name="Normal 12 2 7 2" xfId="4202" xr:uid="{00000000-0005-0000-0000-000091100000}"/>
    <cellStyle name="Normal 12 2 7 2 2" xfId="8424" xr:uid="{00000000-0005-0000-0000-00000F210000}"/>
    <cellStyle name="Normal 12 2 7 2 2 2" xfId="18015" xr:uid="{392CFC33-51B4-4B2F-9F8F-D9522B875C38}"/>
    <cellStyle name="Normal 12 2 7 2 3" xfId="13794" xr:uid="{3184AC87-551B-4C1E-B736-E8AD50364709}"/>
    <cellStyle name="Normal 12 2 7 3" xfId="6279" xr:uid="{00000000-0005-0000-0000-0000AE180000}"/>
    <cellStyle name="Normal 12 2 7 3 2" xfId="15870" xr:uid="{CF4A2E03-2654-4C7C-A4D6-A81F84DAA416}"/>
    <cellStyle name="Normal 12 2 7 4" xfId="11565" xr:uid="{47418FF0-5F99-49E2-BECE-C3C2AE74C6F0}"/>
    <cellStyle name="Normal 12 2 8" xfId="2409" xr:uid="{00000000-0005-0000-0000-000090090000}"/>
    <cellStyle name="Normal 12 2 8 2" xfId="6692" xr:uid="{00000000-0005-0000-0000-00004B1A0000}"/>
    <cellStyle name="Normal 12 2 8 2 2" xfId="16283" xr:uid="{A2BB8A89-2DE1-49ED-9330-B7CAF516992F}"/>
    <cellStyle name="Normal 12 2 8 3" xfId="12001" xr:uid="{8E360D6A-0054-4EB2-B2B0-F75EE19C253D}"/>
    <cellStyle name="Normal 12 2 9" xfId="4626" xr:uid="{00000000-0005-0000-0000-000039120000}"/>
    <cellStyle name="Normal 12 2 9 2" xfId="14217" xr:uid="{5E6CB010-06C5-4E2C-BA1E-B1EE2E900FB8}"/>
    <cellStyle name="Normal 12 3" xfId="228" xr:uid="{00000000-0005-0000-0000-000008010000}"/>
    <cellStyle name="Normal 12 3 10" xfId="9839" xr:uid="{D1DE6E1C-529A-4539-A058-6032DC6AA1F4}"/>
    <cellStyle name="Normal 12 3 2" xfId="229" xr:uid="{00000000-0005-0000-0000-000009010000}"/>
    <cellStyle name="Normal 12 3 2 2" xfId="727" xr:uid="{00000000-0005-0000-0000-0000FE020000}"/>
    <cellStyle name="Normal 12 3 2 2 2" xfId="2968" xr:uid="{00000000-0005-0000-0000-0000BF0B0000}"/>
    <cellStyle name="Normal 12 3 2 2 2 2" xfId="7190" xr:uid="{00000000-0005-0000-0000-00003D1C0000}"/>
    <cellStyle name="Normal 12 3 2 2 2 2 2" xfId="16781" xr:uid="{C7EFCDCB-D448-42CF-8149-D9A0688DA46D}"/>
    <cellStyle name="Normal 12 3 2 2 2 3" xfId="12560" xr:uid="{514EAC5F-5D52-455F-A7FC-3E495DD91B2F}"/>
    <cellStyle name="Normal 12 3 2 2 3" xfId="5045" xr:uid="{00000000-0005-0000-0000-0000DC130000}"/>
    <cellStyle name="Normal 12 3 2 2 3 2" xfId="14636" xr:uid="{E1D116D5-5095-444C-8B6C-046B010105BB}"/>
    <cellStyle name="Normal 12 3 2 2 4" xfId="9466" xr:uid="{00000000-0005-0000-0000-000021250000}"/>
    <cellStyle name="Normal 12 3 2 2 5" xfId="10320" xr:uid="{2BA130C3-0FB2-4087-ACA8-C32AC8C6CF22}"/>
    <cellStyle name="Normal 12 3 2 3" xfId="1150" xr:uid="{00000000-0005-0000-0000-0000A5040000}"/>
    <cellStyle name="Normal 12 3 2 3 2" xfId="3381" xr:uid="{00000000-0005-0000-0000-00005C0D0000}"/>
    <cellStyle name="Normal 12 3 2 3 2 2" xfId="7603" xr:uid="{00000000-0005-0000-0000-0000DA1D0000}"/>
    <cellStyle name="Normal 12 3 2 3 2 2 2" xfId="17194" xr:uid="{EBC26345-817B-495D-8FA5-B7AA957D19BA}"/>
    <cellStyle name="Normal 12 3 2 3 2 3" xfId="12973" xr:uid="{9ACD85E2-CDCE-4C11-8012-2675C8763CA3}"/>
    <cellStyle name="Normal 12 3 2 3 3" xfId="5458" xr:uid="{00000000-0005-0000-0000-000079150000}"/>
    <cellStyle name="Normal 12 3 2 3 3 2" xfId="15049" xr:uid="{229D04A9-5745-43A4-9F90-8B56ACF65B52}"/>
    <cellStyle name="Normal 12 3 2 3 4" xfId="10743" xr:uid="{6277AE68-EDAC-4DC9-BB92-32913B5E4210}"/>
    <cellStyle name="Normal 12 3 2 4" xfId="1564" xr:uid="{00000000-0005-0000-0000-000043060000}"/>
    <cellStyle name="Normal 12 3 2 4 2" xfId="3794" xr:uid="{00000000-0005-0000-0000-0000F90E0000}"/>
    <cellStyle name="Normal 12 3 2 4 2 2" xfId="8016" xr:uid="{00000000-0005-0000-0000-0000771F0000}"/>
    <cellStyle name="Normal 12 3 2 4 2 2 2" xfId="17607" xr:uid="{6BAB3DA9-0744-4C6A-97E7-E606F7A6D74F}"/>
    <cellStyle name="Normal 12 3 2 4 2 3" xfId="13386" xr:uid="{A8AC8541-F597-4465-ADF2-7F4EDC346444}"/>
    <cellStyle name="Normal 12 3 2 4 3" xfId="5871" xr:uid="{00000000-0005-0000-0000-000016170000}"/>
    <cellStyle name="Normal 12 3 2 4 3 2" xfId="15462" xr:uid="{1CA0ACD9-705A-4439-AFE7-9296174117FB}"/>
    <cellStyle name="Normal 12 3 2 4 4" xfId="11157" xr:uid="{9FA9CDEA-C57B-4CB4-AE7B-3461639CDDF9}"/>
    <cellStyle name="Normal 12 3 2 5" xfId="1978" xr:uid="{00000000-0005-0000-0000-0000E1070000}"/>
    <cellStyle name="Normal 12 3 2 5 2" xfId="4207" xr:uid="{00000000-0005-0000-0000-000096100000}"/>
    <cellStyle name="Normal 12 3 2 5 2 2" xfId="8429" xr:uid="{00000000-0005-0000-0000-000014210000}"/>
    <cellStyle name="Normal 12 3 2 5 2 2 2" xfId="18020" xr:uid="{420F324D-A798-4B12-93B9-2DC4D6AEF0BF}"/>
    <cellStyle name="Normal 12 3 2 5 2 3" xfId="13799" xr:uid="{6E766A3C-FFC6-4891-B8E2-4B94C694A630}"/>
    <cellStyle name="Normal 12 3 2 5 3" xfId="6284" xr:uid="{00000000-0005-0000-0000-0000B3180000}"/>
    <cellStyle name="Normal 12 3 2 5 3 2" xfId="15875" xr:uid="{3EF9BEDC-591A-4B16-B7E6-7E6E3585114F}"/>
    <cellStyle name="Normal 12 3 2 5 4" xfId="11570" xr:uid="{39BCBD47-F318-4401-9BA3-8F19B79877CF}"/>
    <cellStyle name="Normal 12 3 2 6" xfId="2414" xr:uid="{00000000-0005-0000-0000-000095090000}"/>
    <cellStyle name="Normal 12 3 2 6 2" xfId="6697" xr:uid="{00000000-0005-0000-0000-0000501A0000}"/>
    <cellStyle name="Normal 12 3 2 6 2 2" xfId="16288" xr:uid="{C8EE258C-3329-46EF-AF7D-6F01F6493988}"/>
    <cellStyle name="Normal 12 3 2 6 3" xfId="12006" xr:uid="{24117A82-CF7A-4F96-AD67-1DE0579432CA}"/>
    <cellStyle name="Normal 12 3 2 7" xfId="4631" xr:uid="{00000000-0005-0000-0000-00003E120000}"/>
    <cellStyle name="Normal 12 3 2 7 2" xfId="14222" xr:uid="{EC3E63D9-97AC-4D38-8B35-F51FE67E46BA}"/>
    <cellStyle name="Normal 12 3 2 8" xfId="9041" xr:uid="{00000000-0005-0000-0000-000078230000}"/>
    <cellStyle name="Normal 12 3 2 9" xfId="9840" xr:uid="{2BF8CBFF-E75A-46F8-ABCB-C5C1A6CBC3EF}"/>
    <cellStyle name="Normal 12 3 3" xfId="726" xr:uid="{00000000-0005-0000-0000-0000FD020000}"/>
    <cellStyle name="Normal 12 3 3 2" xfId="2967" xr:uid="{00000000-0005-0000-0000-0000BE0B0000}"/>
    <cellStyle name="Normal 12 3 3 2 2" xfId="7189" xr:uid="{00000000-0005-0000-0000-00003C1C0000}"/>
    <cellStyle name="Normal 12 3 3 2 2 2" xfId="16780" xr:uid="{6254F4ED-6ED6-41AB-960C-B6D20CC3ED31}"/>
    <cellStyle name="Normal 12 3 3 2 3" xfId="12559" xr:uid="{134706C5-7DB1-40DF-BC61-D06700401DF5}"/>
    <cellStyle name="Normal 12 3 3 3" xfId="5044" xr:uid="{00000000-0005-0000-0000-0000DB130000}"/>
    <cellStyle name="Normal 12 3 3 3 2" xfId="14635" xr:uid="{A0BB869F-3E93-4529-8BA0-DD02C53D96A4}"/>
    <cellStyle name="Normal 12 3 3 4" xfId="9259" xr:uid="{00000000-0005-0000-0000-000052240000}"/>
    <cellStyle name="Normal 12 3 3 5" xfId="10319" xr:uid="{681F1EBA-9F31-43B7-B112-66727618CCD0}"/>
    <cellStyle name="Normal 12 3 4" xfId="1149" xr:uid="{00000000-0005-0000-0000-0000A4040000}"/>
    <cellStyle name="Normal 12 3 4 2" xfId="3380" xr:uid="{00000000-0005-0000-0000-00005B0D0000}"/>
    <cellStyle name="Normal 12 3 4 2 2" xfId="7602" xr:uid="{00000000-0005-0000-0000-0000D91D0000}"/>
    <cellStyle name="Normal 12 3 4 2 2 2" xfId="17193" xr:uid="{DFB3FC28-3844-441A-97C7-E1DA8AB917BE}"/>
    <cellStyle name="Normal 12 3 4 2 3" xfId="12972" xr:uid="{EA5F5EDA-BC88-4879-82F1-B6FA4369AAA1}"/>
    <cellStyle name="Normal 12 3 4 3" xfId="5457" xr:uid="{00000000-0005-0000-0000-000078150000}"/>
    <cellStyle name="Normal 12 3 4 3 2" xfId="15048" xr:uid="{969EA4F8-3CC7-4276-B148-2CEBE8343676}"/>
    <cellStyle name="Normal 12 3 4 4" xfId="10742" xr:uid="{293EEA64-D8BA-4885-A9DA-033D64819355}"/>
    <cellStyle name="Normal 12 3 5" xfId="1563" xr:uid="{00000000-0005-0000-0000-000042060000}"/>
    <cellStyle name="Normal 12 3 5 2" xfId="3793" xr:uid="{00000000-0005-0000-0000-0000F80E0000}"/>
    <cellStyle name="Normal 12 3 5 2 2" xfId="8015" xr:uid="{00000000-0005-0000-0000-0000761F0000}"/>
    <cellStyle name="Normal 12 3 5 2 2 2" xfId="17606" xr:uid="{80E27B72-EE3A-4811-B24F-7B658BFCA194}"/>
    <cellStyle name="Normal 12 3 5 2 3" xfId="13385" xr:uid="{043CEFC6-6136-4B53-9B2A-E310AFDED9ED}"/>
    <cellStyle name="Normal 12 3 5 3" xfId="5870" xr:uid="{00000000-0005-0000-0000-000015170000}"/>
    <cellStyle name="Normal 12 3 5 3 2" xfId="15461" xr:uid="{88140E9C-5734-44D0-BEFB-530081229400}"/>
    <cellStyle name="Normal 12 3 5 4" xfId="11156" xr:uid="{1DBD0F0B-AB6F-4590-A042-3D0763E5F470}"/>
    <cellStyle name="Normal 12 3 6" xfId="1977" xr:uid="{00000000-0005-0000-0000-0000E0070000}"/>
    <cellStyle name="Normal 12 3 6 2" xfId="4206" xr:uid="{00000000-0005-0000-0000-000095100000}"/>
    <cellStyle name="Normal 12 3 6 2 2" xfId="8428" xr:uid="{00000000-0005-0000-0000-000013210000}"/>
    <cellStyle name="Normal 12 3 6 2 2 2" xfId="18019" xr:uid="{030C047C-A14C-429A-8333-8709D218D7D5}"/>
    <cellStyle name="Normal 12 3 6 2 3" xfId="13798" xr:uid="{F3C9DB35-C003-410A-AD33-F809E1D5C2F3}"/>
    <cellStyle name="Normal 12 3 6 3" xfId="6283" xr:uid="{00000000-0005-0000-0000-0000B2180000}"/>
    <cellStyle name="Normal 12 3 6 3 2" xfId="15874" xr:uid="{A60307A4-D4A4-4DCB-896C-E1ACE5BB1065}"/>
    <cellStyle name="Normal 12 3 6 4" xfId="11569" xr:uid="{46FA9288-E1A2-476F-8BC0-9DC8B4B4FBE1}"/>
    <cellStyle name="Normal 12 3 7" xfId="2413" xr:uid="{00000000-0005-0000-0000-000094090000}"/>
    <cellStyle name="Normal 12 3 7 2" xfId="6696" xr:uid="{00000000-0005-0000-0000-00004F1A0000}"/>
    <cellStyle name="Normal 12 3 7 2 2" xfId="16287" xr:uid="{D81B1A03-E0AA-47D3-9B45-EF2F364CD1F3}"/>
    <cellStyle name="Normal 12 3 7 3" xfId="12005" xr:uid="{BD959835-6CCD-4D15-832E-7D1F743ADA3E}"/>
    <cellStyle name="Normal 12 3 8" xfId="4630" xr:uid="{00000000-0005-0000-0000-00003D120000}"/>
    <cellStyle name="Normal 12 3 8 2" xfId="14221" xr:uid="{C610D9B4-25E1-4824-B11D-4DD90028731C}"/>
    <cellStyle name="Normal 12 3 9" xfId="8834" xr:uid="{00000000-0005-0000-0000-0000A9220000}"/>
    <cellStyle name="Normal 12 4" xfId="230" xr:uid="{00000000-0005-0000-0000-00000A010000}"/>
    <cellStyle name="Normal 12 4 2" xfId="728" xr:uid="{00000000-0005-0000-0000-0000FF020000}"/>
    <cellStyle name="Normal 12 4 2 2" xfId="2969" xr:uid="{00000000-0005-0000-0000-0000C00B0000}"/>
    <cellStyle name="Normal 12 4 2 2 2" xfId="7191" xr:uid="{00000000-0005-0000-0000-00003E1C0000}"/>
    <cellStyle name="Normal 12 4 2 2 2 2" xfId="16782" xr:uid="{B30BEC32-13CF-4D05-8515-ABD43964DB8C}"/>
    <cellStyle name="Normal 12 4 2 2 3" xfId="12561" xr:uid="{B485F7D6-99B1-43E3-8FCB-3F5DF916F08B}"/>
    <cellStyle name="Normal 12 4 2 3" xfId="5046" xr:uid="{00000000-0005-0000-0000-0000DD130000}"/>
    <cellStyle name="Normal 12 4 2 3 2" xfId="14637" xr:uid="{C078B3D0-21F1-4A73-A9B1-24F5E0AE26A8}"/>
    <cellStyle name="Normal 12 4 2 4" xfId="9363" xr:uid="{00000000-0005-0000-0000-0000BA240000}"/>
    <cellStyle name="Normal 12 4 2 5" xfId="10321" xr:uid="{A4E1536D-8559-411E-8EE3-A09356F8D120}"/>
    <cellStyle name="Normal 12 4 3" xfId="1151" xr:uid="{00000000-0005-0000-0000-0000A6040000}"/>
    <cellStyle name="Normal 12 4 3 2" xfId="3382" xr:uid="{00000000-0005-0000-0000-00005D0D0000}"/>
    <cellStyle name="Normal 12 4 3 2 2" xfId="7604" xr:uid="{00000000-0005-0000-0000-0000DB1D0000}"/>
    <cellStyle name="Normal 12 4 3 2 2 2" xfId="17195" xr:uid="{E3D125C9-525D-44F7-A7D2-6AA2DD6723CC}"/>
    <cellStyle name="Normal 12 4 3 2 3" xfId="12974" xr:uid="{75480995-E96E-4118-A228-C02C4BB7AC94}"/>
    <cellStyle name="Normal 12 4 3 3" xfId="5459" xr:uid="{00000000-0005-0000-0000-00007A150000}"/>
    <cellStyle name="Normal 12 4 3 3 2" xfId="15050" xr:uid="{74604D1B-42C5-4D56-BF1F-D783A4EF9FC5}"/>
    <cellStyle name="Normal 12 4 3 4" xfId="10744" xr:uid="{798376FB-A371-4C01-8007-651962D0BC59}"/>
    <cellStyle name="Normal 12 4 4" xfId="1565" xr:uid="{00000000-0005-0000-0000-000044060000}"/>
    <cellStyle name="Normal 12 4 4 2" xfId="3795" xr:uid="{00000000-0005-0000-0000-0000FA0E0000}"/>
    <cellStyle name="Normal 12 4 4 2 2" xfId="8017" xr:uid="{00000000-0005-0000-0000-0000781F0000}"/>
    <cellStyle name="Normal 12 4 4 2 2 2" xfId="17608" xr:uid="{A6E9BEB0-5F80-4164-A993-45D537475756}"/>
    <cellStyle name="Normal 12 4 4 2 3" xfId="13387" xr:uid="{D684B839-3893-4335-8336-6F0C8F5C5660}"/>
    <cellStyle name="Normal 12 4 4 3" xfId="5872" xr:uid="{00000000-0005-0000-0000-000017170000}"/>
    <cellStyle name="Normal 12 4 4 3 2" xfId="15463" xr:uid="{A9C5A091-7BF4-4B8A-837E-7D951775B53C}"/>
    <cellStyle name="Normal 12 4 4 4" xfId="11158" xr:uid="{8AC9EE9C-585E-4655-ADAF-EA9912EE923F}"/>
    <cellStyle name="Normal 12 4 5" xfId="1979" xr:uid="{00000000-0005-0000-0000-0000E2070000}"/>
    <cellStyle name="Normal 12 4 5 2" xfId="4208" xr:uid="{00000000-0005-0000-0000-000097100000}"/>
    <cellStyle name="Normal 12 4 5 2 2" xfId="8430" xr:uid="{00000000-0005-0000-0000-000015210000}"/>
    <cellStyle name="Normal 12 4 5 2 2 2" xfId="18021" xr:uid="{FA3FB679-E18F-43FE-BB55-C96F5F423FA4}"/>
    <cellStyle name="Normal 12 4 5 2 3" xfId="13800" xr:uid="{CEB79DDC-CE88-41E8-AC9A-9D6AF11A10E6}"/>
    <cellStyle name="Normal 12 4 5 3" xfId="6285" xr:uid="{00000000-0005-0000-0000-0000B4180000}"/>
    <cellStyle name="Normal 12 4 5 3 2" xfId="15876" xr:uid="{58EDCE67-83BF-49F6-88D3-5D2696224172}"/>
    <cellStyle name="Normal 12 4 5 4" xfId="11571" xr:uid="{13516D1B-E6B9-493F-96B4-7C0029501BB2}"/>
    <cellStyle name="Normal 12 4 6" xfId="2415" xr:uid="{00000000-0005-0000-0000-000096090000}"/>
    <cellStyle name="Normal 12 4 6 2" xfId="6698" xr:uid="{00000000-0005-0000-0000-0000511A0000}"/>
    <cellStyle name="Normal 12 4 6 2 2" xfId="16289" xr:uid="{66D40FD3-BF14-47BE-85E5-6C5EC617A942}"/>
    <cellStyle name="Normal 12 4 6 3" xfId="12007" xr:uid="{423CF957-0548-4A40-BC5B-2E4441F0BE77}"/>
    <cellStyle name="Normal 12 4 7" xfId="4632" xr:uid="{00000000-0005-0000-0000-00003F120000}"/>
    <cellStyle name="Normal 12 4 7 2" xfId="14223" xr:uid="{9C6BC7C8-0624-4CAC-865B-5C76404421F8}"/>
    <cellStyle name="Normal 12 4 8" xfId="8938" xr:uid="{00000000-0005-0000-0000-000011230000}"/>
    <cellStyle name="Normal 12 4 9" xfId="9841" xr:uid="{CE5574E7-B203-41F4-B72D-3486FCDFF7C0}"/>
    <cellStyle name="Normal 12 5" xfId="231" xr:uid="{00000000-0005-0000-0000-00000B010000}"/>
    <cellStyle name="Normal 12 5 2" xfId="9540" xr:uid="{00000000-0005-0000-0000-00006B250000}"/>
    <cellStyle name="Normal 12 5 3" xfId="9547" xr:uid="{00000000-0005-0000-0000-000072250000}"/>
    <cellStyle name="Normal 12 5 4" xfId="9117" xr:uid="{00000000-0005-0000-0000-0000C4230000}"/>
    <cellStyle name="Normal 12 6" xfId="721" xr:uid="{00000000-0005-0000-0000-0000F8020000}"/>
    <cellStyle name="Normal 12 6 2" xfId="2962" xr:uid="{00000000-0005-0000-0000-0000B90B0000}"/>
    <cellStyle name="Normal 12 6 2 2" xfId="7184" xr:uid="{00000000-0005-0000-0000-0000371C0000}"/>
    <cellStyle name="Normal 12 6 2 2 2" xfId="16775" xr:uid="{319D5305-C831-4041-92F5-F6C2F03D88F5}"/>
    <cellStyle name="Normal 12 6 2 3" xfId="12554" xr:uid="{36C870C4-290C-4BE3-AD65-5B35D1904100}"/>
    <cellStyle name="Normal 12 6 3" xfId="5039" xr:uid="{00000000-0005-0000-0000-0000D6130000}"/>
    <cellStyle name="Normal 12 6 3 2" xfId="14630" xr:uid="{53589900-C0A6-49A3-BE71-72F4C601529B}"/>
    <cellStyle name="Normal 12 6 4" xfId="9155" xr:uid="{00000000-0005-0000-0000-0000EA230000}"/>
    <cellStyle name="Normal 12 6 5" xfId="10314" xr:uid="{0366EDA5-0124-495C-B404-630DBCA6DF61}"/>
    <cellStyle name="Normal 12 7" xfId="1144" xr:uid="{00000000-0005-0000-0000-00009F040000}"/>
    <cellStyle name="Normal 12 7 2" xfId="3375" xr:uid="{00000000-0005-0000-0000-0000560D0000}"/>
    <cellStyle name="Normal 12 7 2 2" xfId="7597" xr:uid="{00000000-0005-0000-0000-0000D41D0000}"/>
    <cellStyle name="Normal 12 7 2 2 2" xfId="17188" xr:uid="{6A29919F-8C3E-443A-BDF9-072DAD8FE3AB}"/>
    <cellStyle name="Normal 12 7 2 3" xfId="12967" xr:uid="{3B16A079-3DFC-4943-85A4-A680D4412366}"/>
    <cellStyle name="Normal 12 7 3" xfId="5452" xr:uid="{00000000-0005-0000-0000-000073150000}"/>
    <cellStyle name="Normal 12 7 3 2" xfId="15043" xr:uid="{57F54826-40F8-450D-815C-A9EFCDD63505}"/>
    <cellStyle name="Normal 12 7 4" xfId="10737" xr:uid="{30A8F5F4-D4BB-48C5-BDE2-B3547BDBC847}"/>
    <cellStyle name="Normal 12 8" xfId="1558" xr:uid="{00000000-0005-0000-0000-00003D060000}"/>
    <cellStyle name="Normal 12 8 2" xfId="3788" xr:uid="{00000000-0005-0000-0000-0000F30E0000}"/>
    <cellStyle name="Normal 12 8 2 2" xfId="8010" xr:uid="{00000000-0005-0000-0000-0000711F0000}"/>
    <cellStyle name="Normal 12 8 2 2 2" xfId="17601" xr:uid="{888E3B99-84AB-4963-A763-644955809AB5}"/>
    <cellStyle name="Normal 12 8 2 3" xfId="13380" xr:uid="{9D32CFDA-3F31-46AB-AE8B-DD0A469F4D01}"/>
    <cellStyle name="Normal 12 8 3" xfId="5865" xr:uid="{00000000-0005-0000-0000-000010170000}"/>
    <cellStyle name="Normal 12 8 3 2" xfId="15456" xr:uid="{B1B0BCA6-C7D4-42E6-A14D-6EA0759C8FA2}"/>
    <cellStyle name="Normal 12 8 4" xfId="11151" xr:uid="{E0752E6D-FA51-464A-9621-A06079CC011F}"/>
    <cellStyle name="Normal 12 9" xfId="1972" xr:uid="{00000000-0005-0000-0000-0000DB070000}"/>
    <cellStyle name="Normal 12 9 2" xfId="4201" xr:uid="{00000000-0005-0000-0000-000090100000}"/>
    <cellStyle name="Normal 12 9 2 2" xfId="8423" xr:uid="{00000000-0005-0000-0000-00000E210000}"/>
    <cellStyle name="Normal 12 9 2 2 2" xfId="18014" xr:uid="{C34162A2-E010-4672-9E17-84F43090A6F5}"/>
    <cellStyle name="Normal 12 9 2 3" xfId="13793" xr:uid="{2872EDE3-7B7D-4E07-838D-2A7A78E0D894}"/>
    <cellStyle name="Normal 12 9 3" xfId="6278" xr:uid="{00000000-0005-0000-0000-0000AD180000}"/>
    <cellStyle name="Normal 12 9 3 2" xfId="15869" xr:uid="{FCAE841A-D28B-4CCA-AB47-F8B7D7469310}"/>
    <cellStyle name="Normal 12 9 4" xfId="11564" xr:uid="{30BC5CE3-8807-4987-9401-3C1FA207F35B}"/>
    <cellStyle name="Normal 13" xfId="232" xr:uid="{00000000-0005-0000-0000-00000C010000}"/>
    <cellStyle name="Normal 13 2" xfId="233" xr:uid="{00000000-0005-0000-0000-00000D010000}"/>
    <cellStyle name="Normal 13 3" xfId="9842" xr:uid="{91F27018-35DD-43FD-9E2F-4AF596F3CF70}"/>
    <cellStyle name="Normal 14" xfId="234" xr:uid="{00000000-0005-0000-0000-00000E010000}"/>
    <cellStyle name="Normal 14 2" xfId="729" xr:uid="{00000000-0005-0000-0000-000000030000}"/>
    <cellStyle name="Normal 14 2 2" xfId="2970" xr:uid="{00000000-0005-0000-0000-0000C10B0000}"/>
    <cellStyle name="Normal 14 2 2 2" xfId="7192" xr:uid="{00000000-0005-0000-0000-00003F1C0000}"/>
    <cellStyle name="Normal 14 2 2 2 2" xfId="16783" xr:uid="{C4E80342-48A3-4C4F-ACCD-A53FD5FDD4E0}"/>
    <cellStyle name="Normal 14 2 2 3" xfId="12562" xr:uid="{FD53CB9B-A91A-481B-BCEE-962BF68C617D}"/>
    <cellStyle name="Normal 14 2 3" xfId="5047" xr:uid="{00000000-0005-0000-0000-0000DE130000}"/>
    <cellStyle name="Normal 14 2 3 2" xfId="14638" xr:uid="{A6531EAF-1829-4B7E-A199-C780A2C660D1}"/>
    <cellStyle name="Normal 14 2 4" xfId="9332" xr:uid="{00000000-0005-0000-0000-00009B240000}"/>
    <cellStyle name="Normal 14 2 5" xfId="10322" xr:uid="{40BC59DF-913B-496C-9EE5-42CE08C732CE}"/>
    <cellStyle name="Normal 14 3" xfId="1152" xr:uid="{00000000-0005-0000-0000-0000A7040000}"/>
    <cellStyle name="Normal 14 3 2" xfId="3383" xr:uid="{00000000-0005-0000-0000-00005E0D0000}"/>
    <cellStyle name="Normal 14 3 2 2" xfId="7605" xr:uid="{00000000-0005-0000-0000-0000DC1D0000}"/>
    <cellStyle name="Normal 14 3 2 2 2" xfId="17196" xr:uid="{076D3B9F-24AB-431E-8A2C-287333E58A52}"/>
    <cellStyle name="Normal 14 3 2 3" xfId="12975" xr:uid="{C9D34D2C-3116-43AF-A468-27E9813D1632}"/>
    <cellStyle name="Normal 14 3 3" xfId="5460" xr:uid="{00000000-0005-0000-0000-00007B150000}"/>
    <cellStyle name="Normal 14 3 3 2" xfId="15051" xr:uid="{556630A9-7831-48CC-8F42-023E5657612B}"/>
    <cellStyle name="Normal 14 3 4" xfId="10745" xr:uid="{A7F607C3-DCE4-4E77-A9A2-144A0189225B}"/>
    <cellStyle name="Normal 14 4" xfId="1566" xr:uid="{00000000-0005-0000-0000-000045060000}"/>
    <cellStyle name="Normal 14 4 2" xfId="3796" xr:uid="{00000000-0005-0000-0000-0000FB0E0000}"/>
    <cellStyle name="Normal 14 4 2 2" xfId="8018" xr:uid="{00000000-0005-0000-0000-0000791F0000}"/>
    <cellStyle name="Normal 14 4 2 2 2" xfId="17609" xr:uid="{8427664D-34C3-4439-BA6C-5691FA5AAA58}"/>
    <cellStyle name="Normal 14 4 2 3" xfId="13388" xr:uid="{C2B39A45-9E2B-4043-AA82-0C1DFAE98183}"/>
    <cellStyle name="Normal 14 4 3" xfId="5873" xr:uid="{00000000-0005-0000-0000-000018170000}"/>
    <cellStyle name="Normal 14 4 3 2" xfId="15464" xr:uid="{5FD393AE-B6CC-4623-B931-1A2D238BD66B}"/>
    <cellStyle name="Normal 14 4 4" xfId="11159" xr:uid="{21326C8D-4EEE-470D-ACEE-8AD99024EE14}"/>
    <cellStyle name="Normal 14 5" xfId="1980" xr:uid="{00000000-0005-0000-0000-0000E3070000}"/>
    <cellStyle name="Normal 14 5 2" xfId="4209" xr:uid="{00000000-0005-0000-0000-000098100000}"/>
    <cellStyle name="Normal 14 5 2 2" xfId="8431" xr:uid="{00000000-0005-0000-0000-000016210000}"/>
    <cellStyle name="Normal 14 5 2 2 2" xfId="18022" xr:uid="{17969EC6-55E6-4CE1-8239-165342A9CDC2}"/>
    <cellStyle name="Normal 14 5 2 3" xfId="13801" xr:uid="{E1295BA1-F713-4650-8E07-B3197BB91C55}"/>
    <cellStyle name="Normal 14 5 3" xfId="6286" xr:uid="{00000000-0005-0000-0000-0000B5180000}"/>
    <cellStyle name="Normal 14 5 3 2" xfId="15877" xr:uid="{1B8507C3-85C7-4EAF-A0F1-3B97CE261409}"/>
    <cellStyle name="Normal 14 5 4" xfId="11572" xr:uid="{F27E3E6D-61AD-4221-8FDF-C7E4E25A5D03}"/>
    <cellStyle name="Normal 14 6" xfId="2416" xr:uid="{00000000-0005-0000-0000-000097090000}"/>
    <cellStyle name="Normal 14 6 2" xfId="6699" xr:uid="{00000000-0005-0000-0000-0000521A0000}"/>
    <cellStyle name="Normal 14 6 2 2" xfId="16290" xr:uid="{6288E942-4C8B-4248-BD4A-786B11538E7E}"/>
    <cellStyle name="Normal 14 6 3" xfId="12008" xr:uid="{5576BF54-B401-430D-87E9-C48665299C7F}"/>
    <cellStyle name="Normal 14 7" xfId="4633" xr:uid="{00000000-0005-0000-0000-000040120000}"/>
    <cellStyle name="Normal 14 7 2" xfId="14224" xr:uid="{82744EC8-DDED-41C9-8D4B-25DFED433E9A}"/>
    <cellStyle name="Normal 14 8" xfId="8907" xr:uid="{00000000-0005-0000-0000-0000F2220000}"/>
    <cellStyle name="Normal 14 9" xfId="9843" xr:uid="{9915C52B-6F03-4282-8369-AC574059A1C9}"/>
    <cellStyle name="Normal 15" xfId="4457" xr:uid="{00000000-0005-0000-0000-000090110000}"/>
    <cellStyle name="Normal 15 2" xfId="9539" xr:uid="{00000000-0005-0000-0000-00006A250000}"/>
    <cellStyle name="Normal 15 3" xfId="9116" xr:uid="{00000000-0005-0000-0000-0000C3230000}"/>
    <cellStyle name="Normal 15 4" xfId="14049" xr:uid="{5EF1FF0D-3A01-47A2-A806-83FB0E69382F}"/>
    <cellStyle name="Normal 16" xfId="4461" xr:uid="{00000000-0005-0000-0000-000094110000}"/>
    <cellStyle name="Normal 16 2" xfId="8676" xr:uid="{00000000-0005-0000-0000-00000B220000}"/>
    <cellStyle name="Normal 16 2 2" xfId="18267" xr:uid="{E028C6BB-8A30-43FD-BAC2-BF77FFA3BFAF}"/>
    <cellStyle name="Normal 16 3" xfId="8679" xr:uid="{00000000-0005-0000-0000-00000E220000}"/>
    <cellStyle name="Normal 16 3 2" xfId="8683" xr:uid="{00000000-0005-0000-0000-000012220000}"/>
    <cellStyle name="Normal 16 3 2 2" xfId="8686" xr:uid="{00000000-0005-0000-0000-000015220000}"/>
    <cellStyle name="Normal 16 3 2 2 2" xfId="8690" xr:uid="{00000000-0005-0000-0000-000019220000}"/>
    <cellStyle name="Normal 16 3 2 2 2 2" xfId="8694" xr:uid="{00000000-0005-0000-0000-00001D220000}"/>
    <cellStyle name="Normal 16 3 2 2 2 2 2" xfId="8697" xr:uid="{00000000-0005-0000-0000-000020220000}"/>
    <cellStyle name="Normal 16 3 2 2 2 2 3" xfId="18284" xr:uid="{848833F0-728B-4A6C-BFDF-D1653F2D7D0B}"/>
    <cellStyle name="Normal 16 3 2 2 2 3" xfId="18281" xr:uid="{EE1A9AE9-A912-40F0-8F6B-B310274AC2C6}"/>
    <cellStyle name="Normal 16 3 2 2 3" xfId="18277" xr:uid="{D550D879-8925-4274-9DF3-2983BFA3C557}"/>
    <cellStyle name="Normal 16 3 2 3" xfId="18274" xr:uid="{1A8FB791-0EC1-4443-AE86-D8F85C5BBF57}"/>
    <cellStyle name="Normal 16 3 3" xfId="18270" xr:uid="{0D0BAF6A-143D-4EF0-810A-4FDBE302F08D}"/>
    <cellStyle name="Normal 16 4" xfId="9573" xr:uid="{00000000-0005-0000-0000-00008C250000}"/>
    <cellStyle name="Normal 16 5" xfId="14052" xr:uid="{9EAE692D-3947-4224-A286-2A72FA9833A0}"/>
    <cellStyle name="Normal 17" xfId="8689" xr:uid="{00000000-0005-0000-0000-000018220000}"/>
    <cellStyle name="Normal 17 2" xfId="9118" xr:uid="{00000000-0005-0000-0000-0000C5230000}"/>
    <cellStyle name="Normal 17 3" xfId="9115" xr:uid="{00000000-0005-0000-0000-0000C2230000}"/>
    <cellStyle name="Normal 17 4" xfId="18280" xr:uid="{6D24D204-4293-4528-8C72-5666C594CF23}"/>
    <cellStyle name="Normal 18" xfId="9114" xr:uid="{00000000-0005-0000-0000-0000C1230000}"/>
    <cellStyle name="Normal 19" xfId="8700" xr:uid="{00000000-0005-0000-0000-000023220000}"/>
    <cellStyle name="Normal 2" xfId="235" xr:uid="{00000000-0005-0000-0000-00000F010000}"/>
    <cellStyle name="Normal 2 2" xfId="236" xr:uid="{00000000-0005-0000-0000-000010010000}"/>
    <cellStyle name="Normal 2 2 2" xfId="237" xr:uid="{00000000-0005-0000-0000-000011010000}"/>
    <cellStyle name="Normal 2 2 2 2" xfId="238" xr:uid="{00000000-0005-0000-0000-000012010000}"/>
    <cellStyle name="Normal 2 2 2 2 2" xfId="9846" xr:uid="{CC205BE5-6238-4ADF-BA04-61F800E69FF2}"/>
    <cellStyle name="Normal 2 2 2 3" xfId="239" xr:uid="{00000000-0005-0000-0000-000013010000}"/>
    <cellStyle name="Normal 2 2 2 4" xfId="1153" xr:uid="{00000000-0005-0000-0000-0000A8040000}"/>
    <cellStyle name="Normal 2 2 2 4 2" xfId="9565" xr:uid="{00000000-0005-0000-0000-000084250000}"/>
    <cellStyle name="Normal 2 2 2 4 3" xfId="10746" xr:uid="{9C63D685-5A0A-4365-8DD5-09F8F20556CC}"/>
    <cellStyle name="Normal 2 2 3" xfId="731" xr:uid="{00000000-0005-0000-0000-000002030000}"/>
    <cellStyle name="Normal 2 2 3 2" xfId="9564" xr:uid="{00000000-0005-0000-0000-000083250000}"/>
    <cellStyle name="Normal 2 2 3 3" xfId="9120" xr:uid="{00000000-0005-0000-0000-0000C7230000}"/>
    <cellStyle name="Normal 2 2 3 4" xfId="10324" xr:uid="{6C759C6C-12F3-4E91-ADD7-C892FA5E6D0B}"/>
    <cellStyle name="Normal 2 2 4" xfId="9845" xr:uid="{F1B14DBA-E211-40FA-8722-25E9068A0486}"/>
    <cellStyle name="Normal 2 3" xfId="240" xr:uid="{00000000-0005-0000-0000-000014010000}"/>
    <cellStyle name="Normal 2 3 2" xfId="241" xr:uid="{00000000-0005-0000-0000-000015010000}"/>
    <cellStyle name="Normal 2 3 3" xfId="9847" xr:uid="{D704804D-F69C-4204-9894-27B3031CF521}"/>
    <cellStyle name="Normal 2 4" xfId="242" xr:uid="{00000000-0005-0000-0000-000016010000}"/>
    <cellStyle name="Normal 2 4 10" xfId="8709" xr:uid="{00000000-0005-0000-0000-00002C220000}"/>
    <cellStyle name="Normal 2 4 11" xfId="9848" xr:uid="{6D189ED9-29AD-4352-9D8D-F580CF9D57D1}"/>
    <cellStyle name="Normal 2 4 2" xfId="243" xr:uid="{00000000-0005-0000-0000-000017010000}"/>
    <cellStyle name="Normal 2 4 2 10" xfId="1981" xr:uid="{00000000-0005-0000-0000-0000E4070000}"/>
    <cellStyle name="Normal 2 4 2 10 2" xfId="4210" xr:uid="{00000000-0005-0000-0000-000099100000}"/>
    <cellStyle name="Normal 2 4 2 10 2 2" xfId="8432" xr:uid="{00000000-0005-0000-0000-000017210000}"/>
    <cellStyle name="Normal 2 4 2 10 2 2 2" xfId="18023" xr:uid="{A2A6E4E0-E84B-4AA3-A0EA-DFFA1E17D7D7}"/>
    <cellStyle name="Normal 2 4 2 10 2 3" xfId="13802" xr:uid="{5A1DEF07-E001-476D-84B3-5F12DCAC1F91}"/>
    <cellStyle name="Normal 2 4 2 10 3" xfId="6287" xr:uid="{00000000-0005-0000-0000-0000B6180000}"/>
    <cellStyle name="Normal 2 4 2 10 3 2" xfId="15878" xr:uid="{187C9CE2-2BB0-4478-84A5-2C4265959E25}"/>
    <cellStyle name="Normal 2 4 2 10 4" xfId="11573" xr:uid="{DA5E1357-35C9-47D0-8496-E3E259CEF66E}"/>
    <cellStyle name="Normal 2 4 2 11" xfId="2417" xr:uid="{00000000-0005-0000-0000-000098090000}"/>
    <cellStyle name="Normal 2 4 2 11 2" xfId="6700" xr:uid="{00000000-0005-0000-0000-0000531A0000}"/>
    <cellStyle name="Normal 2 4 2 11 2 2" xfId="16291" xr:uid="{2A0EB8EA-E4D2-43FD-80CC-6CCF104D521E}"/>
    <cellStyle name="Normal 2 4 2 11 3" xfId="12009" xr:uid="{ADDB6F8F-B7D0-4E10-91E1-BC4D5D64C3E9}"/>
    <cellStyle name="Normal 2 4 2 12" xfId="4634" xr:uid="{00000000-0005-0000-0000-000041120000}"/>
    <cellStyle name="Normal 2 4 2 12 2" xfId="14225" xr:uid="{194C8411-D713-4E19-9728-21A45DEB65C4}"/>
    <cellStyle name="Normal 2 4 2 13" xfId="8718" xr:uid="{00000000-0005-0000-0000-000035220000}"/>
    <cellStyle name="Normal 2 4 2 14" xfId="9849" xr:uid="{947B559C-0C28-470D-9FFB-548E8E9B3F78}"/>
    <cellStyle name="Normal 2 4 2 2" xfId="244" xr:uid="{00000000-0005-0000-0000-000018010000}"/>
    <cellStyle name="Normal 2 4 2 2 2" xfId="9850" xr:uid="{BD1DC4CE-5252-4850-8B16-2FA7E6D70C6C}"/>
    <cellStyle name="Normal 2 4 2 3" xfId="245" xr:uid="{00000000-0005-0000-0000-000019010000}"/>
    <cellStyle name="Normal 2 4 2 3 10" xfId="4635" xr:uid="{00000000-0005-0000-0000-000042120000}"/>
    <cellStyle name="Normal 2 4 2 3 10 2" xfId="14226" xr:uid="{4F6818BF-37AC-4BDA-BB13-B097C4261B02}"/>
    <cellStyle name="Normal 2 4 2 3 11" xfId="8749" xr:uid="{00000000-0005-0000-0000-000054220000}"/>
    <cellStyle name="Normal 2 4 2 3 12" xfId="9851" xr:uid="{08B1268E-3F6A-45EC-AAFF-C16E9D5C5380}"/>
    <cellStyle name="Normal 2 4 2 3 2" xfId="246" xr:uid="{00000000-0005-0000-0000-00001A010000}"/>
    <cellStyle name="Normal 2 4 2 3 2 10" xfId="8774" xr:uid="{00000000-0005-0000-0000-00006D220000}"/>
    <cellStyle name="Normal 2 4 2 3 2 11" xfId="9852" xr:uid="{A7DE1C98-D632-4950-855F-788E65CB898F}"/>
    <cellStyle name="Normal 2 4 2 3 2 2" xfId="247" xr:uid="{00000000-0005-0000-0000-00001B010000}"/>
    <cellStyle name="Normal 2 4 2 3 2 2 10" xfId="9853" xr:uid="{512B827B-8217-4088-8587-2318F769CE23}"/>
    <cellStyle name="Normal 2 4 2 3 2 2 2" xfId="248" xr:uid="{00000000-0005-0000-0000-00001C010000}"/>
    <cellStyle name="Normal 2 4 2 3 2 2 2 2" xfId="736" xr:uid="{00000000-0005-0000-0000-000007030000}"/>
    <cellStyle name="Normal 2 4 2 3 2 2 2 2 2" xfId="2975" xr:uid="{00000000-0005-0000-0000-0000C60B0000}"/>
    <cellStyle name="Normal 2 4 2 3 2 2 2 2 2 2" xfId="7197" xr:uid="{00000000-0005-0000-0000-0000441C0000}"/>
    <cellStyle name="Normal 2 4 2 3 2 2 2 2 2 2 2" xfId="16788" xr:uid="{FA34D7A3-70B4-4648-9538-4FCF65A6CCEE}"/>
    <cellStyle name="Normal 2 4 2 3 2 2 2 2 2 3" xfId="12567" xr:uid="{9D00FE64-025B-49CE-9548-488696213B54}"/>
    <cellStyle name="Normal 2 4 2 3 2 2 2 2 3" xfId="5052" xr:uid="{00000000-0005-0000-0000-0000E3130000}"/>
    <cellStyle name="Normal 2 4 2 3 2 2 2 2 3 2" xfId="14643" xr:uid="{CE3E6285-2FD7-41B9-B8FE-DF4DCC229C48}"/>
    <cellStyle name="Normal 2 4 2 3 2 2 2 2 4" xfId="9509" xr:uid="{00000000-0005-0000-0000-00004C250000}"/>
    <cellStyle name="Normal 2 4 2 3 2 2 2 2 5" xfId="10329" xr:uid="{395682E2-E605-45B8-B2D2-7428944A86DB}"/>
    <cellStyle name="Normal 2 4 2 3 2 2 2 3" xfId="1158" xr:uid="{00000000-0005-0000-0000-0000AD040000}"/>
    <cellStyle name="Normal 2 4 2 3 2 2 2 3 2" xfId="3388" xr:uid="{00000000-0005-0000-0000-0000630D0000}"/>
    <cellStyle name="Normal 2 4 2 3 2 2 2 3 2 2" xfId="7610" xr:uid="{00000000-0005-0000-0000-0000E11D0000}"/>
    <cellStyle name="Normal 2 4 2 3 2 2 2 3 2 2 2" xfId="17201" xr:uid="{E424CA7C-D83D-4E47-8D36-2038673159FD}"/>
    <cellStyle name="Normal 2 4 2 3 2 2 2 3 2 3" xfId="12980" xr:uid="{815BAD0B-AE1A-47BD-B1E7-0C0F21792996}"/>
    <cellStyle name="Normal 2 4 2 3 2 2 2 3 3" xfId="5465" xr:uid="{00000000-0005-0000-0000-000080150000}"/>
    <cellStyle name="Normal 2 4 2 3 2 2 2 3 3 2" xfId="15056" xr:uid="{7B9A5A97-A77C-471D-A739-1526D4737A53}"/>
    <cellStyle name="Normal 2 4 2 3 2 2 2 3 4" xfId="10751" xr:uid="{EE94908C-9F4A-4649-BEEA-EFD1C18EE1AD}"/>
    <cellStyle name="Normal 2 4 2 3 2 2 2 4" xfId="1571" xr:uid="{00000000-0005-0000-0000-00004A060000}"/>
    <cellStyle name="Normal 2 4 2 3 2 2 2 4 2" xfId="3801" xr:uid="{00000000-0005-0000-0000-0000000F0000}"/>
    <cellStyle name="Normal 2 4 2 3 2 2 2 4 2 2" xfId="8023" xr:uid="{00000000-0005-0000-0000-00007E1F0000}"/>
    <cellStyle name="Normal 2 4 2 3 2 2 2 4 2 2 2" xfId="17614" xr:uid="{21BBCA49-A95C-4B51-A568-118EE5F9FDB4}"/>
    <cellStyle name="Normal 2 4 2 3 2 2 2 4 2 3" xfId="13393" xr:uid="{0ABCB4FD-8FD2-4602-AEB7-6F5646543CC8}"/>
    <cellStyle name="Normal 2 4 2 3 2 2 2 4 3" xfId="5878" xr:uid="{00000000-0005-0000-0000-00001D170000}"/>
    <cellStyle name="Normal 2 4 2 3 2 2 2 4 3 2" xfId="15469" xr:uid="{FC8FDB4B-3FBB-4161-8FD4-53F7138A1016}"/>
    <cellStyle name="Normal 2 4 2 3 2 2 2 4 4" xfId="11164" xr:uid="{7EEE7458-F204-492E-9B2F-DBFE920E2AA4}"/>
    <cellStyle name="Normal 2 4 2 3 2 2 2 5" xfId="1985" xr:uid="{00000000-0005-0000-0000-0000E8070000}"/>
    <cellStyle name="Normal 2 4 2 3 2 2 2 5 2" xfId="4214" xr:uid="{00000000-0005-0000-0000-00009D100000}"/>
    <cellStyle name="Normal 2 4 2 3 2 2 2 5 2 2" xfId="8436" xr:uid="{00000000-0005-0000-0000-00001B210000}"/>
    <cellStyle name="Normal 2 4 2 3 2 2 2 5 2 2 2" xfId="18027" xr:uid="{14E3A047-2EC1-4D57-A1EF-DE88201B2B01}"/>
    <cellStyle name="Normal 2 4 2 3 2 2 2 5 2 3" xfId="13806" xr:uid="{92C9A5EA-E32D-489A-BDE5-53F68A104736}"/>
    <cellStyle name="Normal 2 4 2 3 2 2 2 5 3" xfId="6291" xr:uid="{00000000-0005-0000-0000-0000BA180000}"/>
    <cellStyle name="Normal 2 4 2 3 2 2 2 5 3 2" xfId="15882" xr:uid="{D56D7B4C-2F80-4888-A48A-5B3EB357E164}"/>
    <cellStyle name="Normal 2 4 2 3 2 2 2 5 4" xfId="11577" xr:uid="{E3B823C9-1368-4D8F-924F-5744358B1F13}"/>
    <cellStyle name="Normal 2 4 2 3 2 2 2 6" xfId="2421" xr:uid="{00000000-0005-0000-0000-00009C090000}"/>
    <cellStyle name="Normal 2 4 2 3 2 2 2 6 2" xfId="6704" xr:uid="{00000000-0005-0000-0000-0000571A0000}"/>
    <cellStyle name="Normal 2 4 2 3 2 2 2 6 2 2" xfId="16295" xr:uid="{3CD2F955-E883-4446-84B4-EC5B85FA6BB1}"/>
    <cellStyle name="Normal 2 4 2 3 2 2 2 6 3" xfId="12013" xr:uid="{161027C2-C518-45AE-A423-079C1779AD1B}"/>
    <cellStyle name="Normal 2 4 2 3 2 2 2 7" xfId="4638" xr:uid="{00000000-0005-0000-0000-000045120000}"/>
    <cellStyle name="Normal 2 4 2 3 2 2 2 7 2" xfId="14229" xr:uid="{48068466-51BB-4E26-A874-C35B3355DAF0}"/>
    <cellStyle name="Normal 2 4 2 3 2 2 2 8" xfId="9084" xr:uid="{00000000-0005-0000-0000-0000A3230000}"/>
    <cellStyle name="Normal 2 4 2 3 2 2 2 9" xfId="9854" xr:uid="{C50F6F34-1993-46E4-BD60-1E729AF16AAA}"/>
    <cellStyle name="Normal 2 4 2 3 2 2 3" xfId="735" xr:uid="{00000000-0005-0000-0000-000006030000}"/>
    <cellStyle name="Normal 2 4 2 3 2 2 3 2" xfId="2974" xr:uid="{00000000-0005-0000-0000-0000C50B0000}"/>
    <cellStyle name="Normal 2 4 2 3 2 2 3 2 2" xfId="7196" xr:uid="{00000000-0005-0000-0000-0000431C0000}"/>
    <cellStyle name="Normal 2 4 2 3 2 2 3 2 2 2" xfId="16787" xr:uid="{5EE7F558-845C-44C3-9E8E-199400929A27}"/>
    <cellStyle name="Normal 2 4 2 3 2 2 3 2 3" xfId="12566" xr:uid="{80BF4CA3-6365-486A-8EB8-17943E2EE7D9}"/>
    <cellStyle name="Normal 2 4 2 3 2 2 3 3" xfId="5051" xr:uid="{00000000-0005-0000-0000-0000E2130000}"/>
    <cellStyle name="Normal 2 4 2 3 2 2 3 3 2" xfId="14642" xr:uid="{C82CA9E6-18E5-409D-955E-0A61FE94BBE9}"/>
    <cellStyle name="Normal 2 4 2 3 2 2 3 4" xfId="9302" xr:uid="{00000000-0005-0000-0000-00007D240000}"/>
    <cellStyle name="Normal 2 4 2 3 2 2 3 5" xfId="10328" xr:uid="{C344A53F-3BCD-4B1B-A27C-50260D416FCD}"/>
    <cellStyle name="Normal 2 4 2 3 2 2 4" xfId="1157" xr:uid="{00000000-0005-0000-0000-0000AC040000}"/>
    <cellStyle name="Normal 2 4 2 3 2 2 4 2" xfId="3387" xr:uid="{00000000-0005-0000-0000-0000620D0000}"/>
    <cellStyle name="Normal 2 4 2 3 2 2 4 2 2" xfId="7609" xr:uid="{00000000-0005-0000-0000-0000E01D0000}"/>
    <cellStyle name="Normal 2 4 2 3 2 2 4 2 2 2" xfId="17200" xr:uid="{62B9DCB4-2929-417F-9A71-9FC52212C7A3}"/>
    <cellStyle name="Normal 2 4 2 3 2 2 4 2 3" xfId="12979" xr:uid="{32C0006F-45E6-4F96-8EFD-1303DB50D92A}"/>
    <cellStyle name="Normal 2 4 2 3 2 2 4 3" xfId="5464" xr:uid="{00000000-0005-0000-0000-00007F150000}"/>
    <cellStyle name="Normal 2 4 2 3 2 2 4 3 2" xfId="15055" xr:uid="{C6091805-C40E-44FA-B17E-EDA638FF9DA2}"/>
    <cellStyle name="Normal 2 4 2 3 2 2 4 4" xfId="10750" xr:uid="{1FA31599-3046-45C3-B56C-332559BEA030}"/>
    <cellStyle name="Normal 2 4 2 3 2 2 5" xfId="1570" xr:uid="{00000000-0005-0000-0000-000049060000}"/>
    <cellStyle name="Normal 2 4 2 3 2 2 5 2" xfId="3800" xr:uid="{00000000-0005-0000-0000-0000FF0E0000}"/>
    <cellStyle name="Normal 2 4 2 3 2 2 5 2 2" xfId="8022" xr:uid="{00000000-0005-0000-0000-00007D1F0000}"/>
    <cellStyle name="Normal 2 4 2 3 2 2 5 2 2 2" xfId="17613" xr:uid="{26008E16-D027-4506-BE6D-ED7D9A5EE340}"/>
    <cellStyle name="Normal 2 4 2 3 2 2 5 2 3" xfId="13392" xr:uid="{8CD2938D-8D0E-40AE-AFB6-938CF148A3BE}"/>
    <cellStyle name="Normal 2 4 2 3 2 2 5 3" xfId="5877" xr:uid="{00000000-0005-0000-0000-00001C170000}"/>
    <cellStyle name="Normal 2 4 2 3 2 2 5 3 2" xfId="15468" xr:uid="{4C325420-BFF6-4A63-82E0-D9AC7C406948}"/>
    <cellStyle name="Normal 2 4 2 3 2 2 5 4" xfId="11163" xr:uid="{EA87D5D7-2F55-4D92-BCA1-FE0EB08AF1D2}"/>
    <cellStyle name="Normal 2 4 2 3 2 2 6" xfId="1984" xr:uid="{00000000-0005-0000-0000-0000E7070000}"/>
    <cellStyle name="Normal 2 4 2 3 2 2 6 2" xfId="4213" xr:uid="{00000000-0005-0000-0000-00009C100000}"/>
    <cellStyle name="Normal 2 4 2 3 2 2 6 2 2" xfId="8435" xr:uid="{00000000-0005-0000-0000-00001A210000}"/>
    <cellStyle name="Normal 2 4 2 3 2 2 6 2 2 2" xfId="18026" xr:uid="{C915566C-8E75-4F63-B192-5ECEC75C470F}"/>
    <cellStyle name="Normal 2 4 2 3 2 2 6 2 3" xfId="13805" xr:uid="{8C1CA18A-6C11-4003-BFB9-837C04FE4052}"/>
    <cellStyle name="Normal 2 4 2 3 2 2 6 3" xfId="6290" xr:uid="{00000000-0005-0000-0000-0000B9180000}"/>
    <cellStyle name="Normal 2 4 2 3 2 2 6 3 2" xfId="15881" xr:uid="{CEA596F6-DA2F-46DB-B436-8FF7DC062CD9}"/>
    <cellStyle name="Normal 2 4 2 3 2 2 6 4" xfId="11576" xr:uid="{E3FF754B-4C6C-4411-8004-43CC5B7173C9}"/>
    <cellStyle name="Normal 2 4 2 3 2 2 7" xfId="2420" xr:uid="{00000000-0005-0000-0000-00009B090000}"/>
    <cellStyle name="Normal 2 4 2 3 2 2 7 2" xfId="6703" xr:uid="{00000000-0005-0000-0000-0000561A0000}"/>
    <cellStyle name="Normal 2 4 2 3 2 2 7 2 2" xfId="16294" xr:uid="{0B3102CA-BED9-46EA-9923-A91EA294E226}"/>
    <cellStyle name="Normal 2 4 2 3 2 2 7 3" xfId="12012" xr:uid="{50AB1671-341E-4413-A110-BEBF9C20F468}"/>
    <cellStyle name="Normal 2 4 2 3 2 2 8" xfId="4637" xr:uid="{00000000-0005-0000-0000-000044120000}"/>
    <cellStyle name="Normal 2 4 2 3 2 2 8 2" xfId="14228" xr:uid="{83447BA3-85E9-4454-BB70-8146A267E1FE}"/>
    <cellStyle name="Normal 2 4 2 3 2 2 9" xfId="8877" xr:uid="{00000000-0005-0000-0000-0000D4220000}"/>
    <cellStyle name="Normal 2 4 2 3 2 3" xfId="249" xr:uid="{00000000-0005-0000-0000-00001D010000}"/>
    <cellStyle name="Normal 2 4 2 3 2 3 2" xfId="737" xr:uid="{00000000-0005-0000-0000-000008030000}"/>
    <cellStyle name="Normal 2 4 2 3 2 3 2 2" xfId="2976" xr:uid="{00000000-0005-0000-0000-0000C70B0000}"/>
    <cellStyle name="Normal 2 4 2 3 2 3 2 2 2" xfId="7198" xr:uid="{00000000-0005-0000-0000-0000451C0000}"/>
    <cellStyle name="Normal 2 4 2 3 2 3 2 2 2 2" xfId="16789" xr:uid="{2B9C2151-906F-4674-888B-F7826D62B8FD}"/>
    <cellStyle name="Normal 2 4 2 3 2 3 2 2 3" xfId="12568" xr:uid="{82D7759C-B89E-4960-B83D-6CC3142D1E96}"/>
    <cellStyle name="Normal 2 4 2 3 2 3 2 3" xfId="5053" xr:uid="{00000000-0005-0000-0000-0000E4130000}"/>
    <cellStyle name="Normal 2 4 2 3 2 3 2 3 2" xfId="14644" xr:uid="{FD4C8796-EBBF-4E8A-8552-42B47D64334C}"/>
    <cellStyle name="Normal 2 4 2 3 2 3 2 4" xfId="9406" xr:uid="{00000000-0005-0000-0000-0000E5240000}"/>
    <cellStyle name="Normal 2 4 2 3 2 3 2 5" xfId="10330" xr:uid="{63858FF5-F4ED-47CF-9AB5-E123649EC79F}"/>
    <cellStyle name="Normal 2 4 2 3 2 3 3" xfId="1159" xr:uid="{00000000-0005-0000-0000-0000AE040000}"/>
    <cellStyle name="Normal 2 4 2 3 2 3 3 2" xfId="3389" xr:uid="{00000000-0005-0000-0000-0000640D0000}"/>
    <cellStyle name="Normal 2 4 2 3 2 3 3 2 2" xfId="7611" xr:uid="{00000000-0005-0000-0000-0000E21D0000}"/>
    <cellStyle name="Normal 2 4 2 3 2 3 3 2 2 2" xfId="17202" xr:uid="{9B9D13C6-5360-49F6-9C28-1A8DA1C1D4EF}"/>
    <cellStyle name="Normal 2 4 2 3 2 3 3 2 3" xfId="12981" xr:uid="{00E8C6E9-1B5B-4920-B69C-34C94A074326}"/>
    <cellStyle name="Normal 2 4 2 3 2 3 3 3" xfId="5466" xr:uid="{00000000-0005-0000-0000-000081150000}"/>
    <cellStyle name="Normal 2 4 2 3 2 3 3 3 2" xfId="15057" xr:uid="{D6066DF9-7AA9-411B-8AA7-A243455D098F}"/>
    <cellStyle name="Normal 2 4 2 3 2 3 3 4" xfId="10752" xr:uid="{14D071F2-9A79-4294-B31C-BC2B76BDBAF0}"/>
    <cellStyle name="Normal 2 4 2 3 2 3 4" xfId="1572" xr:uid="{00000000-0005-0000-0000-00004B060000}"/>
    <cellStyle name="Normal 2 4 2 3 2 3 4 2" xfId="3802" xr:uid="{00000000-0005-0000-0000-0000010F0000}"/>
    <cellStyle name="Normal 2 4 2 3 2 3 4 2 2" xfId="8024" xr:uid="{00000000-0005-0000-0000-00007F1F0000}"/>
    <cellStyle name="Normal 2 4 2 3 2 3 4 2 2 2" xfId="17615" xr:uid="{8B3B0BD3-FD6F-445C-B974-D30490FDE9DD}"/>
    <cellStyle name="Normal 2 4 2 3 2 3 4 2 3" xfId="13394" xr:uid="{CC2C79E3-61E9-420A-AF06-58A9AB284B05}"/>
    <cellStyle name="Normal 2 4 2 3 2 3 4 3" xfId="5879" xr:uid="{00000000-0005-0000-0000-00001E170000}"/>
    <cellStyle name="Normal 2 4 2 3 2 3 4 3 2" xfId="15470" xr:uid="{9099781C-9032-4828-9888-B28EC6A04DB4}"/>
    <cellStyle name="Normal 2 4 2 3 2 3 4 4" xfId="11165" xr:uid="{946086EA-E3D4-4549-BF23-B4342F4B51B8}"/>
    <cellStyle name="Normal 2 4 2 3 2 3 5" xfId="1986" xr:uid="{00000000-0005-0000-0000-0000E9070000}"/>
    <cellStyle name="Normal 2 4 2 3 2 3 5 2" xfId="4215" xr:uid="{00000000-0005-0000-0000-00009E100000}"/>
    <cellStyle name="Normal 2 4 2 3 2 3 5 2 2" xfId="8437" xr:uid="{00000000-0005-0000-0000-00001C210000}"/>
    <cellStyle name="Normal 2 4 2 3 2 3 5 2 2 2" xfId="18028" xr:uid="{2C33006D-A273-455D-8091-A06EE03075AD}"/>
    <cellStyle name="Normal 2 4 2 3 2 3 5 2 3" xfId="13807" xr:uid="{1DA73CB2-53BC-4A41-B1C0-802ACBEAD9DE}"/>
    <cellStyle name="Normal 2 4 2 3 2 3 5 3" xfId="6292" xr:uid="{00000000-0005-0000-0000-0000BB180000}"/>
    <cellStyle name="Normal 2 4 2 3 2 3 5 3 2" xfId="15883" xr:uid="{A378CC47-51F0-4A00-A219-988E13D12900}"/>
    <cellStyle name="Normal 2 4 2 3 2 3 5 4" xfId="11578" xr:uid="{4CCBFFDB-2699-44C4-A617-D8FA4CFAF0F7}"/>
    <cellStyle name="Normal 2 4 2 3 2 3 6" xfId="2422" xr:uid="{00000000-0005-0000-0000-00009D090000}"/>
    <cellStyle name="Normal 2 4 2 3 2 3 6 2" xfId="6705" xr:uid="{00000000-0005-0000-0000-0000581A0000}"/>
    <cellStyle name="Normal 2 4 2 3 2 3 6 2 2" xfId="16296" xr:uid="{EA0030FD-09B5-4B65-8FBD-DDBC81EF6C59}"/>
    <cellStyle name="Normal 2 4 2 3 2 3 6 3" xfId="12014" xr:uid="{86ECACB8-CD5A-4155-8425-C9F0DB4EF132}"/>
    <cellStyle name="Normal 2 4 2 3 2 3 7" xfId="4639" xr:uid="{00000000-0005-0000-0000-000046120000}"/>
    <cellStyle name="Normal 2 4 2 3 2 3 7 2" xfId="14230" xr:uid="{56013CFD-D12B-46D3-B834-BA7C25281B1A}"/>
    <cellStyle name="Normal 2 4 2 3 2 3 8" xfId="8981" xr:uid="{00000000-0005-0000-0000-00003C230000}"/>
    <cellStyle name="Normal 2 4 2 3 2 3 9" xfId="9855" xr:uid="{4A0F19F3-A4C1-42D1-8EED-2158DA446923}"/>
    <cellStyle name="Normal 2 4 2 3 2 4" xfId="734" xr:uid="{00000000-0005-0000-0000-000005030000}"/>
    <cellStyle name="Normal 2 4 2 3 2 4 2" xfId="2973" xr:uid="{00000000-0005-0000-0000-0000C40B0000}"/>
    <cellStyle name="Normal 2 4 2 3 2 4 2 2" xfId="7195" xr:uid="{00000000-0005-0000-0000-0000421C0000}"/>
    <cellStyle name="Normal 2 4 2 3 2 4 2 2 2" xfId="16786" xr:uid="{E3D9BD9A-2FEE-4C44-B959-D576C0BCE9EE}"/>
    <cellStyle name="Normal 2 4 2 3 2 4 2 3" xfId="12565" xr:uid="{AE67804A-BDC3-4279-AFF5-388EBD090D4E}"/>
    <cellStyle name="Normal 2 4 2 3 2 4 3" xfId="5050" xr:uid="{00000000-0005-0000-0000-0000E1130000}"/>
    <cellStyle name="Normal 2 4 2 3 2 4 3 2" xfId="14641" xr:uid="{079C868E-B915-40F9-A847-18486F908DDB}"/>
    <cellStyle name="Normal 2 4 2 3 2 4 4" xfId="9199" xr:uid="{00000000-0005-0000-0000-000016240000}"/>
    <cellStyle name="Normal 2 4 2 3 2 4 5" xfId="10327" xr:uid="{534C9FA8-953A-4253-B6E0-E892A9611BBA}"/>
    <cellStyle name="Normal 2 4 2 3 2 5" xfId="1156" xr:uid="{00000000-0005-0000-0000-0000AB040000}"/>
    <cellStyle name="Normal 2 4 2 3 2 5 2" xfId="3386" xr:uid="{00000000-0005-0000-0000-0000610D0000}"/>
    <cellStyle name="Normal 2 4 2 3 2 5 2 2" xfId="7608" xr:uid="{00000000-0005-0000-0000-0000DF1D0000}"/>
    <cellStyle name="Normal 2 4 2 3 2 5 2 2 2" xfId="17199" xr:uid="{CE685CFA-10B9-48C6-98FF-60DDE1BC2B0D}"/>
    <cellStyle name="Normal 2 4 2 3 2 5 2 3" xfId="12978" xr:uid="{2440DC0C-48BD-4421-AC72-3D408F72E5C8}"/>
    <cellStyle name="Normal 2 4 2 3 2 5 3" xfId="5463" xr:uid="{00000000-0005-0000-0000-00007E150000}"/>
    <cellStyle name="Normal 2 4 2 3 2 5 3 2" xfId="15054" xr:uid="{B5F49D55-787B-4406-A27E-A8FB4A108B50}"/>
    <cellStyle name="Normal 2 4 2 3 2 5 4" xfId="10749" xr:uid="{A636C8E8-BEC7-4B67-898B-ADC0A8747505}"/>
    <cellStyle name="Normal 2 4 2 3 2 6" xfId="1569" xr:uid="{00000000-0005-0000-0000-000048060000}"/>
    <cellStyle name="Normal 2 4 2 3 2 6 2" xfId="3799" xr:uid="{00000000-0005-0000-0000-0000FE0E0000}"/>
    <cellStyle name="Normal 2 4 2 3 2 6 2 2" xfId="8021" xr:uid="{00000000-0005-0000-0000-00007C1F0000}"/>
    <cellStyle name="Normal 2 4 2 3 2 6 2 2 2" xfId="17612" xr:uid="{40978EE0-F874-42B8-B20A-5271E81AC5CC}"/>
    <cellStyle name="Normal 2 4 2 3 2 6 2 3" xfId="13391" xr:uid="{E244DB31-7679-4549-9C69-4A40C7970971}"/>
    <cellStyle name="Normal 2 4 2 3 2 6 3" xfId="5876" xr:uid="{00000000-0005-0000-0000-00001B170000}"/>
    <cellStyle name="Normal 2 4 2 3 2 6 3 2" xfId="15467" xr:uid="{35096B6B-03D8-47E7-A58C-6CD61C5741CA}"/>
    <cellStyle name="Normal 2 4 2 3 2 6 4" xfId="11162" xr:uid="{DBCDFBBC-8449-467E-A587-CCCA848AA729}"/>
    <cellStyle name="Normal 2 4 2 3 2 7" xfId="1983" xr:uid="{00000000-0005-0000-0000-0000E6070000}"/>
    <cellStyle name="Normal 2 4 2 3 2 7 2" xfId="4212" xr:uid="{00000000-0005-0000-0000-00009B100000}"/>
    <cellStyle name="Normal 2 4 2 3 2 7 2 2" xfId="8434" xr:uid="{00000000-0005-0000-0000-000019210000}"/>
    <cellStyle name="Normal 2 4 2 3 2 7 2 2 2" xfId="18025" xr:uid="{C06F2E4C-B1EB-4A64-923F-B8A2F8EBF4F4}"/>
    <cellStyle name="Normal 2 4 2 3 2 7 2 3" xfId="13804" xr:uid="{0688F1F6-E0CE-4EA9-9D17-4D182E57C475}"/>
    <cellStyle name="Normal 2 4 2 3 2 7 3" xfId="6289" xr:uid="{00000000-0005-0000-0000-0000B8180000}"/>
    <cellStyle name="Normal 2 4 2 3 2 7 3 2" xfId="15880" xr:uid="{62890068-C427-4357-A951-CC2C3D9E5C74}"/>
    <cellStyle name="Normal 2 4 2 3 2 7 4" xfId="11575" xr:uid="{687280D5-B730-431D-AD46-836421324DBB}"/>
    <cellStyle name="Normal 2 4 2 3 2 8" xfId="2419" xr:uid="{00000000-0005-0000-0000-00009A090000}"/>
    <cellStyle name="Normal 2 4 2 3 2 8 2" xfId="6702" xr:uid="{00000000-0005-0000-0000-0000551A0000}"/>
    <cellStyle name="Normal 2 4 2 3 2 8 2 2" xfId="16293" xr:uid="{A4E335EF-9848-4A6C-B1B6-F472BC36AFC1}"/>
    <cellStyle name="Normal 2 4 2 3 2 8 3" xfId="12011" xr:uid="{8FD5C325-55D5-4F4F-A57C-6DC810669B5D}"/>
    <cellStyle name="Normal 2 4 2 3 2 9" xfId="4636" xr:uid="{00000000-0005-0000-0000-000043120000}"/>
    <cellStyle name="Normal 2 4 2 3 2 9 2" xfId="14227" xr:uid="{C169FC7D-7A11-412F-AAE1-06537D93AC96}"/>
    <cellStyle name="Normal 2 4 2 3 3" xfId="250" xr:uid="{00000000-0005-0000-0000-00001E010000}"/>
    <cellStyle name="Normal 2 4 2 3 3 10" xfId="9856" xr:uid="{A548883B-3D92-42EC-9B96-A15552597B26}"/>
    <cellStyle name="Normal 2 4 2 3 3 2" xfId="251" xr:uid="{00000000-0005-0000-0000-00001F010000}"/>
    <cellStyle name="Normal 2 4 2 3 3 2 2" xfId="739" xr:uid="{00000000-0005-0000-0000-00000A030000}"/>
    <cellStyle name="Normal 2 4 2 3 3 2 2 2" xfId="2978" xr:uid="{00000000-0005-0000-0000-0000C90B0000}"/>
    <cellStyle name="Normal 2 4 2 3 3 2 2 2 2" xfId="7200" xr:uid="{00000000-0005-0000-0000-0000471C0000}"/>
    <cellStyle name="Normal 2 4 2 3 3 2 2 2 2 2" xfId="16791" xr:uid="{DEAA2C1F-6B57-413F-B351-A3AECF613FF9}"/>
    <cellStyle name="Normal 2 4 2 3 3 2 2 2 3" xfId="12570" xr:uid="{4163E780-89FA-45A8-94E3-11D2BC94CED5}"/>
    <cellStyle name="Normal 2 4 2 3 3 2 2 3" xfId="5055" xr:uid="{00000000-0005-0000-0000-0000E6130000}"/>
    <cellStyle name="Normal 2 4 2 3 3 2 2 3 2" xfId="14646" xr:uid="{E2BF93B0-A9BA-4FA1-A2E5-2A12FE1922DF}"/>
    <cellStyle name="Normal 2 4 2 3 3 2 2 4" xfId="9484" xr:uid="{00000000-0005-0000-0000-000033250000}"/>
    <cellStyle name="Normal 2 4 2 3 3 2 2 5" xfId="10332" xr:uid="{58133BED-C2BE-4E54-B065-7BEBB97808E1}"/>
    <cellStyle name="Normal 2 4 2 3 3 2 3" xfId="1161" xr:uid="{00000000-0005-0000-0000-0000B0040000}"/>
    <cellStyle name="Normal 2 4 2 3 3 2 3 2" xfId="3391" xr:uid="{00000000-0005-0000-0000-0000660D0000}"/>
    <cellStyle name="Normal 2 4 2 3 3 2 3 2 2" xfId="7613" xr:uid="{00000000-0005-0000-0000-0000E41D0000}"/>
    <cellStyle name="Normal 2 4 2 3 3 2 3 2 2 2" xfId="17204" xr:uid="{6FCAEF46-9058-4807-87EB-02BC62B1639C}"/>
    <cellStyle name="Normal 2 4 2 3 3 2 3 2 3" xfId="12983" xr:uid="{B83389A5-3A17-4DD9-97C3-F91C1995012C}"/>
    <cellStyle name="Normal 2 4 2 3 3 2 3 3" xfId="5468" xr:uid="{00000000-0005-0000-0000-000083150000}"/>
    <cellStyle name="Normal 2 4 2 3 3 2 3 3 2" xfId="15059" xr:uid="{9473ADBE-C725-42E2-AAE0-BF5DD62ADF65}"/>
    <cellStyle name="Normal 2 4 2 3 3 2 3 4" xfId="10754" xr:uid="{8D9F83E4-6F7C-49F9-B123-880F2EB7F5E3}"/>
    <cellStyle name="Normal 2 4 2 3 3 2 4" xfId="1574" xr:uid="{00000000-0005-0000-0000-00004D060000}"/>
    <cellStyle name="Normal 2 4 2 3 3 2 4 2" xfId="3804" xr:uid="{00000000-0005-0000-0000-0000030F0000}"/>
    <cellStyle name="Normal 2 4 2 3 3 2 4 2 2" xfId="8026" xr:uid="{00000000-0005-0000-0000-0000811F0000}"/>
    <cellStyle name="Normal 2 4 2 3 3 2 4 2 2 2" xfId="17617" xr:uid="{B73ECAD1-08E8-441A-8D19-3A405F86DA87}"/>
    <cellStyle name="Normal 2 4 2 3 3 2 4 2 3" xfId="13396" xr:uid="{692EF982-96AD-4635-8BFF-3F6C9F14EAA1}"/>
    <cellStyle name="Normal 2 4 2 3 3 2 4 3" xfId="5881" xr:uid="{00000000-0005-0000-0000-000020170000}"/>
    <cellStyle name="Normal 2 4 2 3 3 2 4 3 2" xfId="15472" xr:uid="{3930D3B5-23B7-4AD5-AA20-F86ACC7B3678}"/>
    <cellStyle name="Normal 2 4 2 3 3 2 4 4" xfId="11167" xr:uid="{F62FB4B1-0852-4003-8FB7-11D50CCA2990}"/>
    <cellStyle name="Normal 2 4 2 3 3 2 5" xfId="1988" xr:uid="{00000000-0005-0000-0000-0000EB070000}"/>
    <cellStyle name="Normal 2 4 2 3 3 2 5 2" xfId="4217" xr:uid="{00000000-0005-0000-0000-0000A0100000}"/>
    <cellStyle name="Normal 2 4 2 3 3 2 5 2 2" xfId="8439" xr:uid="{00000000-0005-0000-0000-00001E210000}"/>
    <cellStyle name="Normal 2 4 2 3 3 2 5 2 2 2" xfId="18030" xr:uid="{9820526C-44C6-45EB-BB42-F967F4046E21}"/>
    <cellStyle name="Normal 2 4 2 3 3 2 5 2 3" xfId="13809" xr:uid="{0DCBAD30-9956-49D4-B986-D20AD12399AD}"/>
    <cellStyle name="Normal 2 4 2 3 3 2 5 3" xfId="6294" xr:uid="{00000000-0005-0000-0000-0000BD180000}"/>
    <cellStyle name="Normal 2 4 2 3 3 2 5 3 2" xfId="15885" xr:uid="{DBFFDEF5-573F-4BB1-92AF-D92E2C33F98D}"/>
    <cellStyle name="Normal 2 4 2 3 3 2 5 4" xfId="11580" xr:uid="{5336B2C6-3910-4F03-B98A-B86B9FC37FD1}"/>
    <cellStyle name="Normal 2 4 2 3 3 2 6" xfId="2424" xr:uid="{00000000-0005-0000-0000-00009F090000}"/>
    <cellStyle name="Normal 2 4 2 3 3 2 6 2" xfId="6707" xr:uid="{00000000-0005-0000-0000-00005A1A0000}"/>
    <cellStyle name="Normal 2 4 2 3 3 2 6 2 2" xfId="16298" xr:uid="{BB4A32BF-360F-4105-81D5-BABE46A07F47}"/>
    <cellStyle name="Normal 2 4 2 3 3 2 6 3" xfId="12016" xr:uid="{EAF69E75-FF72-48B8-A889-656408BBC90B}"/>
    <cellStyle name="Normal 2 4 2 3 3 2 7" xfId="4641" xr:uid="{00000000-0005-0000-0000-000048120000}"/>
    <cellStyle name="Normal 2 4 2 3 3 2 7 2" xfId="14232" xr:uid="{6D151B07-56A3-4620-AF32-9A07E069EC43}"/>
    <cellStyle name="Normal 2 4 2 3 3 2 8" xfId="9059" xr:uid="{00000000-0005-0000-0000-00008A230000}"/>
    <cellStyle name="Normal 2 4 2 3 3 2 9" xfId="9857" xr:uid="{41E29113-B50A-420B-A2E3-032E39CE7A09}"/>
    <cellStyle name="Normal 2 4 2 3 3 3" xfId="738" xr:uid="{00000000-0005-0000-0000-000009030000}"/>
    <cellStyle name="Normal 2 4 2 3 3 3 2" xfId="2977" xr:uid="{00000000-0005-0000-0000-0000C80B0000}"/>
    <cellStyle name="Normal 2 4 2 3 3 3 2 2" xfId="7199" xr:uid="{00000000-0005-0000-0000-0000461C0000}"/>
    <cellStyle name="Normal 2 4 2 3 3 3 2 2 2" xfId="16790" xr:uid="{4E73F00D-61DD-4CC8-B197-951D7323FA44}"/>
    <cellStyle name="Normal 2 4 2 3 3 3 2 3" xfId="12569" xr:uid="{6E193187-4516-42DC-B052-10C67B44D788}"/>
    <cellStyle name="Normal 2 4 2 3 3 3 3" xfId="5054" xr:uid="{00000000-0005-0000-0000-0000E5130000}"/>
    <cellStyle name="Normal 2 4 2 3 3 3 3 2" xfId="14645" xr:uid="{006596F9-C4C3-40AA-90FF-CF3D1F3A2B2E}"/>
    <cellStyle name="Normal 2 4 2 3 3 3 4" xfId="9277" xr:uid="{00000000-0005-0000-0000-000064240000}"/>
    <cellStyle name="Normal 2 4 2 3 3 3 5" xfId="10331" xr:uid="{AD1A118F-E47B-496D-8E46-3B8A8348BA61}"/>
    <cellStyle name="Normal 2 4 2 3 3 4" xfId="1160" xr:uid="{00000000-0005-0000-0000-0000AF040000}"/>
    <cellStyle name="Normal 2 4 2 3 3 4 2" xfId="3390" xr:uid="{00000000-0005-0000-0000-0000650D0000}"/>
    <cellStyle name="Normal 2 4 2 3 3 4 2 2" xfId="7612" xr:uid="{00000000-0005-0000-0000-0000E31D0000}"/>
    <cellStyle name="Normal 2 4 2 3 3 4 2 2 2" xfId="17203" xr:uid="{6414E512-6C13-429B-BBC8-425D26223666}"/>
    <cellStyle name="Normal 2 4 2 3 3 4 2 3" xfId="12982" xr:uid="{610AE2E9-840D-48A4-A89D-A4E0A1FEEF3A}"/>
    <cellStyle name="Normal 2 4 2 3 3 4 3" xfId="5467" xr:uid="{00000000-0005-0000-0000-000082150000}"/>
    <cellStyle name="Normal 2 4 2 3 3 4 3 2" xfId="15058" xr:uid="{4BC78D30-FB0E-4786-8526-352DF41976B5}"/>
    <cellStyle name="Normal 2 4 2 3 3 4 4" xfId="10753" xr:uid="{2309700F-DC03-45CC-A8FD-D4B538586646}"/>
    <cellStyle name="Normal 2 4 2 3 3 5" xfId="1573" xr:uid="{00000000-0005-0000-0000-00004C060000}"/>
    <cellStyle name="Normal 2 4 2 3 3 5 2" xfId="3803" xr:uid="{00000000-0005-0000-0000-0000020F0000}"/>
    <cellStyle name="Normal 2 4 2 3 3 5 2 2" xfId="8025" xr:uid="{00000000-0005-0000-0000-0000801F0000}"/>
    <cellStyle name="Normal 2 4 2 3 3 5 2 2 2" xfId="17616" xr:uid="{A8C8FC6E-0762-43CF-9B5F-6907A4609D15}"/>
    <cellStyle name="Normal 2 4 2 3 3 5 2 3" xfId="13395" xr:uid="{DD823134-1D21-4F6A-863C-5768AF61D643}"/>
    <cellStyle name="Normal 2 4 2 3 3 5 3" xfId="5880" xr:uid="{00000000-0005-0000-0000-00001F170000}"/>
    <cellStyle name="Normal 2 4 2 3 3 5 3 2" xfId="15471" xr:uid="{B90215F1-719C-4D76-986A-B57E56BE2017}"/>
    <cellStyle name="Normal 2 4 2 3 3 5 4" xfId="11166" xr:uid="{D87B1C69-A642-49F7-8E36-A2CA02533507}"/>
    <cellStyle name="Normal 2 4 2 3 3 6" xfId="1987" xr:uid="{00000000-0005-0000-0000-0000EA070000}"/>
    <cellStyle name="Normal 2 4 2 3 3 6 2" xfId="4216" xr:uid="{00000000-0005-0000-0000-00009F100000}"/>
    <cellStyle name="Normal 2 4 2 3 3 6 2 2" xfId="8438" xr:uid="{00000000-0005-0000-0000-00001D210000}"/>
    <cellStyle name="Normal 2 4 2 3 3 6 2 2 2" xfId="18029" xr:uid="{BF268121-2A72-451B-B6B5-34A62B47D9C6}"/>
    <cellStyle name="Normal 2 4 2 3 3 6 2 3" xfId="13808" xr:uid="{E72D96FE-5BA1-4B4E-8058-D6CF96C226ED}"/>
    <cellStyle name="Normal 2 4 2 3 3 6 3" xfId="6293" xr:uid="{00000000-0005-0000-0000-0000BC180000}"/>
    <cellStyle name="Normal 2 4 2 3 3 6 3 2" xfId="15884" xr:uid="{9A749540-29C6-409A-9ECA-B666D26FC863}"/>
    <cellStyle name="Normal 2 4 2 3 3 6 4" xfId="11579" xr:uid="{FC7B6D96-BD97-4D3A-8D5D-F2E334EA727C}"/>
    <cellStyle name="Normal 2 4 2 3 3 7" xfId="2423" xr:uid="{00000000-0005-0000-0000-00009E090000}"/>
    <cellStyle name="Normal 2 4 2 3 3 7 2" xfId="6706" xr:uid="{00000000-0005-0000-0000-0000591A0000}"/>
    <cellStyle name="Normal 2 4 2 3 3 7 2 2" xfId="16297" xr:uid="{784B3638-2B15-40E1-ADC7-50CDDD019475}"/>
    <cellStyle name="Normal 2 4 2 3 3 7 3" xfId="12015" xr:uid="{936D2021-471D-4563-B2D9-86BE39CEFE46}"/>
    <cellStyle name="Normal 2 4 2 3 3 8" xfId="4640" xr:uid="{00000000-0005-0000-0000-000047120000}"/>
    <cellStyle name="Normal 2 4 2 3 3 8 2" xfId="14231" xr:uid="{86D28E84-AFCA-4121-B96B-DBBEECD92A78}"/>
    <cellStyle name="Normal 2 4 2 3 3 9" xfId="8852" xr:uid="{00000000-0005-0000-0000-0000BB220000}"/>
    <cellStyle name="Normal 2 4 2 3 4" xfId="252" xr:uid="{00000000-0005-0000-0000-000020010000}"/>
    <cellStyle name="Normal 2 4 2 3 4 2" xfId="740" xr:uid="{00000000-0005-0000-0000-00000B030000}"/>
    <cellStyle name="Normal 2 4 2 3 4 2 2" xfId="2979" xr:uid="{00000000-0005-0000-0000-0000CA0B0000}"/>
    <cellStyle name="Normal 2 4 2 3 4 2 2 2" xfId="7201" xr:uid="{00000000-0005-0000-0000-0000481C0000}"/>
    <cellStyle name="Normal 2 4 2 3 4 2 2 2 2" xfId="16792" xr:uid="{3C71EC83-3D55-460E-B3AA-BEA29DF04904}"/>
    <cellStyle name="Normal 2 4 2 3 4 2 2 3" xfId="12571" xr:uid="{D90C9A5D-17F4-4907-8365-BF937DCA84E3}"/>
    <cellStyle name="Normal 2 4 2 3 4 2 3" xfId="5056" xr:uid="{00000000-0005-0000-0000-0000E7130000}"/>
    <cellStyle name="Normal 2 4 2 3 4 2 3 2" xfId="14647" xr:uid="{ECF69D18-38A1-4D83-825B-1272088DE173}"/>
    <cellStyle name="Normal 2 4 2 3 4 2 4" xfId="9381" xr:uid="{00000000-0005-0000-0000-0000CC240000}"/>
    <cellStyle name="Normal 2 4 2 3 4 2 5" xfId="10333" xr:uid="{7FD1B48E-1166-4FCE-BA46-A2B0475EBA9E}"/>
    <cellStyle name="Normal 2 4 2 3 4 3" xfId="1162" xr:uid="{00000000-0005-0000-0000-0000B1040000}"/>
    <cellStyle name="Normal 2 4 2 3 4 3 2" xfId="3392" xr:uid="{00000000-0005-0000-0000-0000670D0000}"/>
    <cellStyle name="Normal 2 4 2 3 4 3 2 2" xfId="7614" xr:uid="{00000000-0005-0000-0000-0000E51D0000}"/>
    <cellStyle name="Normal 2 4 2 3 4 3 2 2 2" xfId="17205" xr:uid="{D67D4AD5-F737-446A-9E02-4A749F99EAE6}"/>
    <cellStyle name="Normal 2 4 2 3 4 3 2 3" xfId="12984" xr:uid="{F90A6099-B5DA-4CA8-92EE-537498B1D870}"/>
    <cellStyle name="Normal 2 4 2 3 4 3 3" xfId="5469" xr:uid="{00000000-0005-0000-0000-000084150000}"/>
    <cellStyle name="Normal 2 4 2 3 4 3 3 2" xfId="15060" xr:uid="{82657E6D-16F9-4965-B03C-BFE9327353A5}"/>
    <cellStyle name="Normal 2 4 2 3 4 3 4" xfId="10755" xr:uid="{E31DB821-479A-4401-9B31-D60710266389}"/>
    <cellStyle name="Normal 2 4 2 3 4 4" xfId="1575" xr:uid="{00000000-0005-0000-0000-00004E060000}"/>
    <cellStyle name="Normal 2 4 2 3 4 4 2" xfId="3805" xr:uid="{00000000-0005-0000-0000-0000040F0000}"/>
    <cellStyle name="Normal 2 4 2 3 4 4 2 2" xfId="8027" xr:uid="{00000000-0005-0000-0000-0000821F0000}"/>
    <cellStyle name="Normal 2 4 2 3 4 4 2 2 2" xfId="17618" xr:uid="{C567AF0A-0C1B-469D-ABCB-2A491C8A9654}"/>
    <cellStyle name="Normal 2 4 2 3 4 4 2 3" xfId="13397" xr:uid="{217B0931-A352-4565-9440-75535DC5EDEC}"/>
    <cellStyle name="Normal 2 4 2 3 4 4 3" xfId="5882" xr:uid="{00000000-0005-0000-0000-000021170000}"/>
    <cellStyle name="Normal 2 4 2 3 4 4 3 2" xfId="15473" xr:uid="{B7A6875E-71C0-414A-95E4-FA52F27017BC}"/>
    <cellStyle name="Normal 2 4 2 3 4 4 4" xfId="11168" xr:uid="{07F7D12B-E730-474D-A640-AA1EDABA6AEF}"/>
    <cellStyle name="Normal 2 4 2 3 4 5" xfId="1989" xr:uid="{00000000-0005-0000-0000-0000EC070000}"/>
    <cellStyle name="Normal 2 4 2 3 4 5 2" xfId="4218" xr:uid="{00000000-0005-0000-0000-0000A1100000}"/>
    <cellStyle name="Normal 2 4 2 3 4 5 2 2" xfId="8440" xr:uid="{00000000-0005-0000-0000-00001F210000}"/>
    <cellStyle name="Normal 2 4 2 3 4 5 2 2 2" xfId="18031" xr:uid="{1800DAE3-7CF3-4654-8A2F-0235DEC80BF1}"/>
    <cellStyle name="Normal 2 4 2 3 4 5 2 3" xfId="13810" xr:uid="{9D9BE064-40BF-4036-A408-422EF0F2F0DC}"/>
    <cellStyle name="Normal 2 4 2 3 4 5 3" xfId="6295" xr:uid="{00000000-0005-0000-0000-0000BE180000}"/>
    <cellStyle name="Normal 2 4 2 3 4 5 3 2" xfId="15886" xr:uid="{B960D88A-4C35-4757-A404-34AA371E08EF}"/>
    <cellStyle name="Normal 2 4 2 3 4 5 4" xfId="11581" xr:uid="{712E5262-C9B3-44CB-8F4F-3767C13938E5}"/>
    <cellStyle name="Normal 2 4 2 3 4 6" xfId="2425" xr:uid="{00000000-0005-0000-0000-0000A0090000}"/>
    <cellStyle name="Normal 2 4 2 3 4 6 2" xfId="6708" xr:uid="{00000000-0005-0000-0000-00005B1A0000}"/>
    <cellStyle name="Normal 2 4 2 3 4 6 2 2" xfId="16299" xr:uid="{8A7831F6-5AA7-4D69-AF6C-5A1FA367B826}"/>
    <cellStyle name="Normal 2 4 2 3 4 6 3" xfId="12017" xr:uid="{752F5657-75CE-44ED-83BD-1339D18D39A6}"/>
    <cellStyle name="Normal 2 4 2 3 4 7" xfId="4642" xr:uid="{00000000-0005-0000-0000-000049120000}"/>
    <cellStyle name="Normal 2 4 2 3 4 7 2" xfId="14233" xr:uid="{6F304B96-C2B8-4B03-91AB-632D337D57A5}"/>
    <cellStyle name="Normal 2 4 2 3 4 8" xfId="8956" xr:uid="{00000000-0005-0000-0000-000023230000}"/>
    <cellStyle name="Normal 2 4 2 3 4 9" xfId="9858" xr:uid="{F8F3BF83-4E53-42E2-8955-F122239C562E}"/>
    <cellStyle name="Normal 2 4 2 3 5" xfId="733" xr:uid="{00000000-0005-0000-0000-000004030000}"/>
    <cellStyle name="Normal 2 4 2 3 5 2" xfId="2972" xr:uid="{00000000-0005-0000-0000-0000C30B0000}"/>
    <cellStyle name="Normal 2 4 2 3 5 2 2" xfId="7194" xr:uid="{00000000-0005-0000-0000-0000411C0000}"/>
    <cellStyle name="Normal 2 4 2 3 5 2 2 2" xfId="16785" xr:uid="{69223B0D-C7CE-4243-BF39-C698B1BCC2CF}"/>
    <cellStyle name="Normal 2 4 2 3 5 2 3" xfId="12564" xr:uid="{3F3EAB4D-3355-4944-8789-01DBD8E54697}"/>
    <cellStyle name="Normal 2 4 2 3 5 3" xfId="5049" xr:uid="{00000000-0005-0000-0000-0000E0130000}"/>
    <cellStyle name="Normal 2 4 2 3 5 3 2" xfId="14640" xr:uid="{480BB273-78BF-45DD-8ED8-577B29745B8A}"/>
    <cellStyle name="Normal 2 4 2 3 5 4" xfId="9173" xr:uid="{00000000-0005-0000-0000-0000FC230000}"/>
    <cellStyle name="Normal 2 4 2 3 5 5" xfId="10326" xr:uid="{BE159B38-EB87-42B4-ABB4-FD26754F950B}"/>
    <cellStyle name="Normal 2 4 2 3 6" xfId="1155" xr:uid="{00000000-0005-0000-0000-0000AA040000}"/>
    <cellStyle name="Normal 2 4 2 3 6 2" xfId="3385" xr:uid="{00000000-0005-0000-0000-0000600D0000}"/>
    <cellStyle name="Normal 2 4 2 3 6 2 2" xfId="7607" xr:uid="{00000000-0005-0000-0000-0000DE1D0000}"/>
    <cellStyle name="Normal 2 4 2 3 6 2 2 2" xfId="17198" xr:uid="{108FAC6A-8333-40AC-B085-A1B23AAC004B}"/>
    <cellStyle name="Normal 2 4 2 3 6 2 3" xfId="12977" xr:uid="{EF497670-8F24-4708-8985-BBFB7CB91B0B}"/>
    <cellStyle name="Normal 2 4 2 3 6 3" xfId="5462" xr:uid="{00000000-0005-0000-0000-00007D150000}"/>
    <cellStyle name="Normal 2 4 2 3 6 3 2" xfId="15053" xr:uid="{A1BB67DD-77AC-4882-AEB9-26E7F1B9ECB6}"/>
    <cellStyle name="Normal 2 4 2 3 6 4" xfId="10748" xr:uid="{1841787D-1B25-44E7-BDC4-963E65060CBF}"/>
    <cellStyle name="Normal 2 4 2 3 7" xfId="1568" xr:uid="{00000000-0005-0000-0000-000047060000}"/>
    <cellStyle name="Normal 2 4 2 3 7 2" xfId="3798" xr:uid="{00000000-0005-0000-0000-0000FD0E0000}"/>
    <cellStyle name="Normal 2 4 2 3 7 2 2" xfId="8020" xr:uid="{00000000-0005-0000-0000-00007B1F0000}"/>
    <cellStyle name="Normal 2 4 2 3 7 2 2 2" xfId="17611" xr:uid="{7974483B-F7E4-4CCD-ADDF-3449223DE0FA}"/>
    <cellStyle name="Normal 2 4 2 3 7 2 3" xfId="13390" xr:uid="{9E97E951-A4B9-4195-B4A7-21F48B71CF77}"/>
    <cellStyle name="Normal 2 4 2 3 7 3" xfId="5875" xr:uid="{00000000-0005-0000-0000-00001A170000}"/>
    <cellStyle name="Normal 2 4 2 3 7 3 2" xfId="15466" xr:uid="{8240BD40-9C6B-427F-AFE4-A68C1E09D55C}"/>
    <cellStyle name="Normal 2 4 2 3 7 4" xfId="11161" xr:uid="{183AE299-2D44-4C17-B07F-F97FEEA97996}"/>
    <cellStyle name="Normal 2 4 2 3 8" xfId="1982" xr:uid="{00000000-0005-0000-0000-0000E5070000}"/>
    <cellStyle name="Normal 2 4 2 3 8 2" xfId="4211" xr:uid="{00000000-0005-0000-0000-00009A100000}"/>
    <cellStyle name="Normal 2 4 2 3 8 2 2" xfId="8433" xr:uid="{00000000-0005-0000-0000-000018210000}"/>
    <cellStyle name="Normal 2 4 2 3 8 2 2 2" xfId="18024" xr:uid="{39AE8674-B95A-457B-A072-E30A295BEECC}"/>
    <cellStyle name="Normal 2 4 2 3 8 2 3" xfId="13803" xr:uid="{4C8809B8-76EF-43E8-A844-95AD86794188}"/>
    <cellStyle name="Normal 2 4 2 3 8 3" xfId="6288" xr:uid="{00000000-0005-0000-0000-0000B7180000}"/>
    <cellStyle name="Normal 2 4 2 3 8 3 2" xfId="15879" xr:uid="{2B1706E3-E8C5-4674-B8D2-54EDA626E03D}"/>
    <cellStyle name="Normal 2 4 2 3 8 4" xfId="11574" xr:uid="{2CD334EB-9E60-40EE-A060-BBB939003392}"/>
    <cellStyle name="Normal 2 4 2 3 9" xfId="2418" xr:uid="{00000000-0005-0000-0000-000099090000}"/>
    <cellStyle name="Normal 2 4 2 3 9 2" xfId="6701" xr:uid="{00000000-0005-0000-0000-0000541A0000}"/>
    <cellStyle name="Normal 2 4 2 3 9 2 2" xfId="16292" xr:uid="{0CA822DF-1C60-4EAD-9026-420A01E3638E}"/>
    <cellStyle name="Normal 2 4 2 3 9 3" xfId="12010" xr:uid="{56147CFC-5F46-4449-A652-A71728CBB584}"/>
    <cellStyle name="Normal 2 4 2 4" xfId="253" xr:uid="{00000000-0005-0000-0000-000021010000}"/>
    <cellStyle name="Normal 2 4 2 4 10" xfId="8773" xr:uid="{00000000-0005-0000-0000-00006C220000}"/>
    <cellStyle name="Normal 2 4 2 4 11" xfId="9859" xr:uid="{234AB66E-73A6-4E67-BA80-4B25FB51A429}"/>
    <cellStyle name="Normal 2 4 2 4 2" xfId="254" xr:uid="{00000000-0005-0000-0000-000022010000}"/>
    <cellStyle name="Normal 2 4 2 4 2 10" xfId="9860" xr:uid="{C24F6238-6DE6-4306-B4CC-43BCD0D056D3}"/>
    <cellStyle name="Normal 2 4 2 4 2 2" xfId="255" xr:uid="{00000000-0005-0000-0000-000023010000}"/>
    <cellStyle name="Normal 2 4 2 4 2 2 2" xfId="743" xr:uid="{00000000-0005-0000-0000-00000E030000}"/>
    <cellStyle name="Normal 2 4 2 4 2 2 2 2" xfId="2982" xr:uid="{00000000-0005-0000-0000-0000CD0B0000}"/>
    <cellStyle name="Normal 2 4 2 4 2 2 2 2 2" xfId="7204" xr:uid="{00000000-0005-0000-0000-00004B1C0000}"/>
    <cellStyle name="Normal 2 4 2 4 2 2 2 2 2 2" xfId="16795" xr:uid="{5FB81E62-7DDC-4534-84BE-C78EB9C37695}"/>
    <cellStyle name="Normal 2 4 2 4 2 2 2 2 3" xfId="12574" xr:uid="{1BDA43D5-17FF-4615-843A-D1114BDD3757}"/>
    <cellStyle name="Normal 2 4 2 4 2 2 2 3" xfId="5059" xr:uid="{00000000-0005-0000-0000-0000EA130000}"/>
    <cellStyle name="Normal 2 4 2 4 2 2 2 3 2" xfId="14650" xr:uid="{ABD46131-DE48-45EC-86CB-4A6867FF2075}"/>
    <cellStyle name="Normal 2 4 2 4 2 2 2 4" xfId="9508" xr:uid="{00000000-0005-0000-0000-00004B250000}"/>
    <cellStyle name="Normal 2 4 2 4 2 2 2 5" xfId="10336" xr:uid="{9DB29BD5-19DB-4C15-9348-957B1C48441E}"/>
    <cellStyle name="Normal 2 4 2 4 2 2 3" xfId="1165" xr:uid="{00000000-0005-0000-0000-0000B4040000}"/>
    <cellStyle name="Normal 2 4 2 4 2 2 3 2" xfId="3395" xr:uid="{00000000-0005-0000-0000-00006A0D0000}"/>
    <cellStyle name="Normal 2 4 2 4 2 2 3 2 2" xfId="7617" xr:uid="{00000000-0005-0000-0000-0000E81D0000}"/>
    <cellStyle name="Normal 2 4 2 4 2 2 3 2 2 2" xfId="17208" xr:uid="{6EE6C48A-D6B3-4C39-BE8D-4B8327C3EDED}"/>
    <cellStyle name="Normal 2 4 2 4 2 2 3 2 3" xfId="12987" xr:uid="{E5D53497-A714-4CB2-BBB2-F52BBDB2215F}"/>
    <cellStyle name="Normal 2 4 2 4 2 2 3 3" xfId="5472" xr:uid="{00000000-0005-0000-0000-000087150000}"/>
    <cellStyle name="Normal 2 4 2 4 2 2 3 3 2" xfId="15063" xr:uid="{B18F02E9-688C-410B-AFF7-90D5A09FD849}"/>
    <cellStyle name="Normal 2 4 2 4 2 2 3 4" xfId="10758" xr:uid="{58BA3FE0-C5A3-4E32-9C0A-561809E0A819}"/>
    <cellStyle name="Normal 2 4 2 4 2 2 4" xfId="1578" xr:uid="{00000000-0005-0000-0000-000051060000}"/>
    <cellStyle name="Normal 2 4 2 4 2 2 4 2" xfId="3808" xr:uid="{00000000-0005-0000-0000-0000070F0000}"/>
    <cellStyle name="Normal 2 4 2 4 2 2 4 2 2" xfId="8030" xr:uid="{00000000-0005-0000-0000-0000851F0000}"/>
    <cellStyle name="Normal 2 4 2 4 2 2 4 2 2 2" xfId="17621" xr:uid="{11BC8A63-1AA2-4051-8CF5-49779F35B55A}"/>
    <cellStyle name="Normal 2 4 2 4 2 2 4 2 3" xfId="13400" xr:uid="{8EF758E5-D204-4BA0-88DC-295B67AC29A4}"/>
    <cellStyle name="Normal 2 4 2 4 2 2 4 3" xfId="5885" xr:uid="{00000000-0005-0000-0000-000024170000}"/>
    <cellStyle name="Normal 2 4 2 4 2 2 4 3 2" xfId="15476" xr:uid="{6DFE01C8-9211-4A15-9669-31E2EDD6CAF2}"/>
    <cellStyle name="Normal 2 4 2 4 2 2 4 4" xfId="11171" xr:uid="{47278866-AE65-4322-B839-6B5E9108C1C6}"/>
    <cellStyle name="Normal 2 4 2 4 2 2 5" xfId="1992" xr:uid="{00000000-0005-0000-0000-0000EF070000}"/>
    <cellStyle name="Normal 2 4 2 4 2 2 5 2" xfId="4221" xr:uid="{00000000-0005-0000-0000-0000A4100000}"/>
    <cellStyle name="Normal 2 4 2 4 2 2 5 2 2" xfId="8443" xr:uid="{00000000-0005-0000-0000-000022210000}"/>
    <cellStyle name="Normal 2 4 2 4 2 2 5 2 2 2" xfId="18034" xr:uid="{A69EF672-F6EC-4DC5-B904-05C4121E8AAC}"/>
    <cellStyle name="Normal 2 4 2 4 2 2 5 2 3" xfId="13813" xr:uid="{30C7705F-DFE2-440E-BF0C-AA9B5C849F04}"/>
    <cellStyle name="Normal 2 4 2 4 2 2 5 3" xfId="6298" xr:uid="{00000000-0005-0000-0000-0000C1180000}"/>
    <cellStyle name="Normal 2 4 2 4 2 2 5 3 2" xfId="15889" xr:uid="{9546D15D-9FF3-49D5-A902-9BC8E435BDA7}"/>
    <cellStyle name="Normal 2 4 2 4 2 2 5 4" xfId="11584" xr:uid="{AC9E0C9B-214D-42E1-AD2D-65B0C2ADC639}"/>
    <cellStyle name="Normal 2 4 2 4 2 2 6" xfId="2428" xr:uid="{00000000-0005-0000-0000-0000A3090000}"/>
    <cellStyle name="Normal 2 4 2 4 2 2 6 2" xfId="6711" xr:uid="{00000000-0005-0000-0000-00005E1A0000}"/>
    <cellStyle name="Normal 2 4 2 4 2 2 6 2 2" xfId="16302" xr:uid="{9B9EEAAC-563B-4DB3-9621-27393BAD69B9}"/>
    <cellStyle name="Normal 2 4 2 4 2 2 6 3" xfId="12020" xr:uid="{629D7495-0659-4D7F-AC02-B33B3DD7BC07}"/>
    <cellStyle name="Normal 2 4 2 4 2 2 7" xfId="4645" xr:uid="{00000000-0005-0000-0000-00004C120000}"/>
    <cellStyle name="Normal 2 4 2 4 2 2 7 2" xfId="14236" xr:uid="{B3BFE3BB-44D0-444E-A22B-F308B89615D3}"/>
    <cellStyle name="Normal 2 4 2 4 2 2 8" xfId="9083" xr:uid="{00000000-0005-0000-0000-0000A2230000}"/>
    <cellStyle name="Normal 2 4 2 4 2 2 9" xfId="9861" xr:uid="{FAEC335A-A630-4914-97D6-6D5E02DA779F}"/>
    <cellStyle name="Normal 2 4 2 4 2 3" xfId="742" xr:uid="{00000000-0005-0000-0000-00000D030000}"/>
    <cellStyle name="Normal 2 4 2 4 2 3 2" xfId="2981" xr:uid="{00000000-0005-0000-0000-0000CC0B0000}"/>
    <cellStyle name="Normal 2 4 2 4 2 3 2 2" xfId="7203" xr:uid="{00000000-0005-0000-0000-00004A1C0000}"/>
    <cellStyle name="Normal 2 4 2 4 2 3 2 2 2" xfId="16794" xr:uid="{EFB08FB4-3A53-4BF4-8D9C-9C5380E5C8D0}"/>
    <cellStyle name="Normal 2 4 2 4 2 3 2 3" xfId="12573" xr:uid="{C3F70A01-0744-44B9-AC84-AA8A24E0474D}"/>
    <cellStyle name="Normal 2 4 2 4 2 3 3" xfId="5058" xr:uid="{00000000-0005-0000-0000-0000E9130000}"/>
    <cellStyle name="Normal 2 4 2 4 2 3 3 2" xfId="14649" xr:uid="{0BE0632F-3586-4B80-9EF7-37E9A4912D92}"/>
    <cellStyle name="Normal 2 4 2 4 2 3 4" xfId="9301" xr:uid="{00000000-0005-0000-0000-00007C240000}"/>
    <cellStyle name="Normal 2 4 2 4 2 3 5" xfId="10335" xr:uid="{64B09BB9-6027-4386-8D09-48FE9EE7826A}"/>
    <cellStyle name="Normal 2 4 2 4 2 4" xfId="1164" xr:uid="{00000000-0005-0000-0000-0000B3040000}"/>
    <cellStyle name="Normal 2 4 2 4 2 4 2" xfId="3394" xr:uid="{00000000-0005-0000-0000-0000690D0000}"/>
    <cellStyle name="Normal 2 4 2 4 2 4 2 2" xfId="7616" xr:uid="{00000000-0005-0000-0000-0000E71D0000}"/>
    <cellStyle name="Normal 2 4 2 4 2 4 2 2 2" xfId="17207" xr:uid="{FFF945E9-DE3B-451B-AB9E-BD162B5BD5C0}"/>
    <cellStyle name="Normal 2 4 2 4 2 4 2 3" xfId="12986" xr:uid="{FA49855C-FEC7-464A-BE12-A0269706FFDE}"/>
    <cellStyle name="Normal 2 4 2 4 2 4 3" xfId="5471" xr:uid="{00000000-0005-0000-0000-000086150000}"/>
    <cellStyle name="Normal 2 4 2 4 2 4 3 2" xfId="15062" xr:uid="{7A0F8A5E-9725-4395-9D99-99A879080036}"/>
    <cellStyle name="Normal 2 4 2 4 2 4 4" xfId="10757" xr:uid="{3C1208A9-E2F2-46A7-AA74-D54A635B87E9}"/>
    <cellStyle name="Normal 2 4 2 4 2 5" xfId="1577" xr:uid="{00000000-0005-0000-0000-000050060000}"/>
    <cellStyle name="Normal 2 4 2 4 2 5 2" xfId="3807" xr:uid="{00000000-0005-0000-0000-0000060F0000}"/>
    <cellStyle name="Normal 2 4 2 4 2 5 2 2" xfId="8029" xr:uid="{00000000-0005-0000-0000-0000841F0000}"/>
    <cellStyle name="Normal 2 4 2 4 2 5 2 2 2" xfId="17620" xr:uid="{13828A25-C324-439C-AAC8-4531D125D6D6}"/>
    <cellStyle name="Normal 2 4 2 4 2 5 2 3" xfId="13399" xr:uid="{B22FB7F0-1CF6-4FB8-853E-4B7288B84C15}"/>
    <cellStyle name="Normal 2 4 2 4 2 5 3" xfId="5884" xr:uid="{00000000-0005-0000-0000-000023170000}"/>
    <cellStyle name="Normal 2 4 2 4 2 5 3 2" xfId="15475" xr:uid="{F7860CBD-0C0F-4853-8BFB-3D41D29BAB9F}"/>
    <cellStyle name="Normal 2 4 2 4 2 5 4" xfId="11170" xr:uid="{A4281481-04BD-4877-8AE2-D48AB47901D5}"/>
    <cellStyle name="Normal 2 4 2 4 2 6" xfId="1991" xr:uid="{00000000-0005-0000-0000-0000EE070000}"/>
    <cellStyle name="Normal 2 4 2 4 2 6 2" xfId="4220" xr:uid="{00000000-0005-0000-0000-0000A3100000}"/>
    <cellStyle name="Normal 2 4 2 4 2 6 2 2" xfId="8442" xr:uid="{00000000-0005-0000-0000-000021210000}"/>
    <cellStyle name="Normal 2 4 2 4 2 6 2 2 2" xfId="18033" xr:uid="{D23B23E4-F6FA-4938-A12C-A2078CF376A2}"/>
    <cellStyle name="Normal 2 4 2 4 2 6 2 3" xfId="13812" xr:uid="{A748CAF6-6578-4816-8120-312D20AFEC78}"/>
    <cellStyle name="Normal 2 4 2 4 2 6 3" xfId="6297" xr:uid="{00000000-0005-0000-0000-0000C0180000}"/>
    <cellStyle name="Normal 2 4 2 4 2 6 3 2" xfId="15888" xr:uid="{F7BFF24F-753E-4D9D-A7E7-7E88B1438090}"/>
    <cellStyle name="Normal 2 4 2 4 2 6 4" xfId="11583" xr:uid="{FCCC3CEE-64FA-48E3-9899-77720ECEEEA9}"/>
    <cellStyle name="Normal 2 4 2 4 2 7" xfId="2427" xr:uid="{00000000-0005-0000-0000-0000A2090000}"/>
    <cellStyle name="Normal 2 4 2 4 2 7 2" xfId="6710" xr:uid="{00000000-0005-0000-0000-00005D1A0000}"/>
    <cellStyle name="Normal 2 4 2 4 2 7 2 2" xfId="16301" xr:uid="{213E648C-3CA5-4B35-97C9-F2B006E1A6BA}"/>
    <cellStyle name="Normal 2 4 2 4 2 7 3" xfId="12019" xr:uid="{6E3C5373-E6AF-48CE-839E-716CFED441CA}"/>
    <cellStyle name="Normal 2 4 2 4 2 8" xfId="4644" xr:uid="{00000000-0005-0000-0000-00004B120000}"/>
    <cellStyle name="Normal 2 4 2 4 2 8 2" xfId="14235" xr:uid="{FDF3E75E-EA72-40EA-BFF4-A3031FFA3384}"/>
    <cellStyle name="Normal 2 4 2 4 2 9" xfId="8876" xr:uid="{00000000-0005-0000-0000-0000D3220000}"/>
    <cellStyle name="Normal 2 4 2 4 3" xfId="256" xr:uid="{00000000-0005-0000-0000-000024010000}"/>
    <cellStyle name="Normal 2 4 2 4 3 2" xfId="744" xr:uid="{00000000-0005-0000-0000-00000F030000}"/>
    <cellStyle name="Normal 2 4 2 4 3 2 2" xfId="2983" xr:uid="{00000000-0005-0000-0000-0000CE0B0000}"/>
    <cellStyle name="Normal 2 4 2 4 3 2 2 2" xfId="7205" xr:uid="{00000000-0005-0000-0000-00004C1C0000}"/>
    <cellStyle name="Normal 2 4 2 4 3 2 2 2 2" xfId="16796" xr:uid="{4FAAF7C0-D6EA-436A-8C20-202D66E5CBC9}"/>
    <cellStyle name="Normal 2 4 2 4 3 2 2 3" xfId="12575" xr:uid="{90DE3C1B-1E22-4340-BC3D-CA128C27AD05}"/>
    <cellStyle name="Normal 2 4 2 4 3 2 3" xfId="5060" xr:uid="{00000000-0005-0000-0000-0000EB130000}"/>
    <cellStyle name="Normal 2 4 2 4 3 2 3 2" xfId="14651" xr:uid="{2B08A478-4513-4193-BC26-2B6E5E4EA32C}"/>
    <cellStyle name="Normal 2 4 2 4 3 2 4" xfId="9405" xr:uid="{00000000-0005-0000-0000-0000E4240000}"/>
    <cellStyle name="Normal 2 4 2 4 3 2 5" xfId="10337" xr:uid="{B37B7CD3-E01D-4970-8211-931212B0DE40}"/>
    <cellStyle name="Normal 2 4 2 4 3 3" xfId="1166" xr:uid="{00000000-0005-0000-0000-0000B5040000}"/>
    <cellStyle name="Normal 2 4 2 4 3 3 2" xfId="3396" xr:uid="{00000000-0005-0000-0000-00006B0D0000}"/>
    <cellStyle name="Normal 2 4 2 4 3 3 2 2" xfId="7618" xr:uid="{00000000-0005-0000-0000-0000E91D0000}"/>
    <cellStyle name="Normal 2 4 2 4 3 3 2 2 2" xfId="17209" xr:uid="{58739235-917C-4CDD-B8E8-CAF7D89A0E23}"/>
    <cellStyle name="Normal 2 4 2 4 3 3 2 3" xfId="12988" xr:uid="{015D06B9-D633-4774-A9D5-42D4E30F41A0}"/>
    <cellStyle name="Normal 2 4 2 4 3 3 3" xfId="5473" xr:uid="{00000000-0005-0000-0000-000088150000}"/>
    <cellStyle name="Normal 2 4 2 4 3 3 3 2" xfId="15064" xr:uid="{C1F3D72F-AA9C-477C-AF09-FBE364CFDC53}"/>
    <cellStyle name="Normal 2 4 2 4 3 3 4" xfId="10759" xr:uid="{A0470414-6A98-4D87-BAEB-875BB98BA22F}"/>
    <cellStyle name="Normal 2 4 2 4 3 4" xfId="1579" xr:uid="{00000000-0005-0000-0000-000052060000}"/>
    <cellStyle name="Normal 2 4 2 4 3 4 2" xfId="3809" xr:uid="{00000000-0005-0000-0000-0000080F0000}"/>
    <cellStyle name="Normal 2 4 2 4 3 4 2 2" xfId="8031" xr:uid="{00000000-0005-0000-0000-0000861F0000}"/>
    <cellStyle name="Normal 2 4 2 4 3 4 2 2 2" xfId="17622" xr:uid="{0155CF21-1BCD-49B3-8D07-EFE9430C95C2}"/>
    <cellStyle name="Normal 2 4 2 4 3 4 2 3" xfId="13401" xr:uid="{86667E5E-D0A5-4EE4-932B-A1C0114E34ED}"/>
    <cellStyle name="Normal 2 4 2 4 3 4 3" xfId="5886" xr:uid="{00000000-0005-0000-0000-000025170000}"/>
    <cellStyle name="Normal 2 4 2 4 3 4 3 2" xfId="15477" xr:uid="{0AB199C4-661B-4333-AA1D-208D7580DE6A}"/>
    <cellStyle name="Normal 2 4 2 4 3 4 4" xfId="11172" xr:uid="{A5DA715E-2804-41D4-85E9-BC357769900E}"/>
    <cellStyle name="Normal 2 4 2 4 3 5" xfId="1993" xr:uid="{00000000-0005-0000-0000-0000F0070000}"/>
    <cellStyle name="Normal 2 4 2 4 3 5 2" xfId="4222" xr:uid="{00000000-0005-0000-0000-0000A5100000}"/>
    <cellStyle name="Normal 2 4 2 4 3 5 2 2" xfId="8444" xr:uid="{00000000-0005-0000-0000-000023210000}"/>
    <cellStyle name="Normal 2 4 2 4 3 5 2 2 2" xfId="18035" xr:uid="{2AFFFF36-0D79-4647-8EF6-F6F8B91812EF}"/>
    <cellStyle name="Normal 2 4 2 4 3 5 2 3" xfId="13814" xr:uid="{E30F611C-D17E-43B3-B36B-DB61DCCA4ECC}"/>
    <cellStyle name="Normal 2 4 2 4 3 5 3" xfId="6299" xr:uid="{00000000-0005-0000-0000-0000C2180000}"/>
    <cellStyle name="Normal 2 4 2 4 3 5 3 2" xfId="15890" xr:uid="{7C31359B-FD41-4791-AE22-0BF16EFF6FB4}"/>
    <cellStyle name="Normal 2 4 2 4 3 5 4" xfId="11585" xr:uid="{74AB3400-5D97-4D90-A2A3-2E41AC6CE035}"/>
    <cellStyle name="Normal 2 4 2 4 3 6" xfId="2429" xr:uid="{00000000-0005-0000-0000-0000A4090000}"/>
    <cellStyle name="Normal 2 4 2 4 3 6 2" xfId="6712" xr:uid="{00000000-0005-0000-0000-00005F1A0000}"/>
    <cellStyle name="Normal 2 4 2 4 3 6 2 2" xfId="16303" xr:uid="{070FD265-177E-41B6-A416-FB61933F009C}"/>
    <cellStyle name="Normal 2 4 2 4 3 6 3" xfId="12021" xr:uid="{06854BDE-7F03-48D8-AFC4-6CA38F76E25C}"/>
    <cellStyle name="Normal 2 4 2 4 3 7" xfId="4646" xr:uid="{00000000-0005-0000-0000-00004D120000}"/>
    <cellStyle name="Normal 2 4 2 4 3 7 2" xfId="14237" xr:uid="{0BB5C71C-FBFF-4944-8426-51468144CB1C}"/>
    <cellStyle name="Normal 2 4 2 4 3 8" xfId="8980" xr:uid="{00000000-0005-0000-0000-00003B230000}"/>
    <cellStyle name="Normal 2 4 2 4 3 9" xfId="9862" xr:uid="{12CA4932-A514-4552-BFE0-5F41749F7389}"/>
    <cellStyle name="Normal 2 4 2 4 4" xfId="741" xr:uid="{00000000-0005-0000-0000-00000C030000}"/>
    <cellStyle name="Normal 2 4 2 4 4 2" xfId="2980" xr:uid="{00000000-0005-0000-0000-0000CB0B0000}"/>
    <cellStyle name="Normal 2 4 2 4 4 2 2" xfId="7202" xr:uid="{00000000-0005-0000-0000-0000491C0000}"/>
    <cellStyle name="Normal 2 4 2 4 4 2 2 2" xfId="16793" xr:uid="{2DCD9604-659F-4125-9B73-FE55CDE3727C}"/>
    <cellStyle name="Normal 2 4 2 4 4 2 3" xfId="12572" xr:uid="{23B1073F-ACE0-4DD8-BF74-F128F0312021}"/>
    <cellStyle name="Normal 2 4 2 4 4 3" xfId="5057" xr:uid="{00000000-0005-0000-0000-0000E8130000}"/>
    <cellStyle name="Normal 2 4 2 4 4 3 2" xfId="14648" xr:uid="{B6D95710-24DD-4D46-AFA6-D8936E31594A}"/>
    <cellStyle name="Normal 2 4 2 4 4 4" xfId="9198" xr:uid="{00000000-0005-0000-0000-000015240000}"/>
    <cellStyle name="Normal 2 4 2 4 4 5" xfId="10334" xr:uid="{8AA09BB1-840F-4109-8012-92A1C48E901B}"/>
    <cellStyle name="Normal 2 4 2 4 5" xfId="1163" xr:uid="{00000000-0005-0000-0000-0000B2040000}"/>
    <cellStyle name="Normal 2 4 2 4 5 2" xfId="3393" xr:uid="{00000000-0005-0000-0000-0000680D0000}"/>
    <cellStyle name="Normal 2 4 2 4 5 2 2" xfId="7615" xr:uid="{00000000-0005-0000-0000-0000E61D0000}"/>
    <cellStyle name="Normal 2 4 2 4 5 2 2 2" xfId="17206" xr:uid="{3C02C44A-9A2A-4C73-B715-0DD50588A185}"/>
    <cellStyle name="Normal 2 4 2 4 5 2 3" xfId="12985" xr:uid="{8E3D2B8F-6D90-4D39-A4E1-DAB88AE7E521}"/>
    <cellStyle name="Normal 2 4 2 4 5 3" xfId="5470" xr:uid="{00000000-0005-0000-0000-000085150000}"/>
    <cellStyle name="Normal 2 4 2 4 5 3 2" xfId="15061" xr:uid="{D8A121E7-542A-4EFE-A79C-AEF732C278E2}"/>
    <cellStyle name="Normal 2 4 2 4 5 4" xfId="10756" xr:uid="{D0FCDB63-8AEE-4C00-9800-80D8625CE414}"/>
    <cellStyle name="Normal 2 4 2 4 6" xfId="1576" xr:uid="{00000000-0005-0000-0000-00004F060000}"/>
    <cellStyle name="Normal 2 4 2 4 6 2" xfId="3806" xr:uid="{00000000-0005-0000-0000-0000050F0000}"/>
    <cellStyle name="Normal 2 4 2 4 6 2 2" xfId="8028" xr:uid="{00000000-0005-0000-0000-0000831F0000}"/>
    <cellStyle name="Normal 2 4 2 4 6 2 2 2" xfId="17619" xr:uid="{D11EA953-9E33-4FAA-95DA-1EA148F07750}"/>
    <cellStyle name="Normal 2 4 2 4 6 2 3" xfId="13398" xr:uid="{A517092B-634F-4610-B241-9E54490368B0}"/>
    <cellStyle name="Normal 2 4 2 4 6 3" xfId="5883" xr:uid="{00000000-0005-0000-0000-000022170000}"/>
    <cellStyle name="Normal 2 4 2 4 6 3 2" xfId="15474" xr:uid="{AB51B720-9E78-46FF-97B0-70F51EF30EAE}"/>
    <cellStyle name="Normal 2 4 2 4 6 4" xfId="11169" xr:uid="{A4A1874A-32D8-485C-8A7E-7A18661FB139}"/>
    <cellStyle name="Normal 2 4 2 4 7" xfId="1990" xr:uid="{00000000-0005-0000-0000-0000ED070000}"/>
    <cellStyle name="Normal 2 4 2 4 7 2" xfId="4219" xr:uid="{00000000-0005-0000-0000-0000A2100000}"/>
    <cellStyle name="Normal 2 4 2 4 7 2 2" xfId="8441" xr:uid="{00000000-0005-0000-0000-000020210000}"/>
    <cellStyle name="Normal 2 4 2 4 7 2 2 2" xfId="18032" xr:uid="{61E58338-DCEA-4533-AD6C-52FBE6C4BBF4}"/>
    <cellStyle name="Normal 2 4 2 4 7 2 3" xfId="13811" xr:uid="{9240C3EC-BD13-412A-9216-2914F3B4F1E9}"/>
    <cellStyle name="Normal 2 4 2 4 7 3" xfId="6296" xr:uid="{00000000-0005-0000-0000-0000BF180000}"/>
    <cellStyle name="Normal 2 4 2 4 7 3 2" xfId="15887" xr:uid="{F9D3FC7B-A2F4-4F30-84F5-19540076A0B2}"/>
    <cellStyle name="Normal 2 4 2 4 7 4" xfId="11582" xr:uid="{7C5F8548-F1CB-4370-8523-CEAF4863B168}"/>
    <cellStyle name="Normal 2 4 2 4 8" xfId="2426" xr:uid="{00000000-0005-0000-0000-0000A1090000}"/>
    <cellStyle name="Normal 2 4 2 4 8 2" xfId="6709" xr:uid="{00000000-0005-0000-0000-00005C1A0000}"/>
    <cellStyle name="Normal 2 4 2 4 8 2 2" xfId="16300" xr:uid="{FC0FFC7D-6280-4D14-84E0-5872497B1B03}"/>
    <cellStyle name="Normal 2 4 2 4 8 3" xfId="12018" xr:uid="{D8B5898A-1FFD-400E-9DE9-261B0A57DCCC}"/>
    <cellStyle name="Normal 2 4 2 4 9" xfId="4643" xr:uid="{00000000-0005-0000-0000-00004A120000}"/>
    <cellStyle name="Normal 2 4 2 4 9 2" xfId="14234" xr:uid="{8F63F19F-CF8D-46D9-B476-DEB56E80CE8D}"/>
    <cellStyle name="Normal 2 4 2 5" xfId="257" xr:uid="{00000000-0005-0000-0000-000025010000}"/>
    <cellStyle name="Normal 2 4 2 5 10" xfId="9863" xr:uid="{4F92BA56-DFB1-47CC-8B9E-015386632453}"/>
    <cellStyle name="Normal 2 4 2 5 2" xfId="258" xr:uid="{00000000-0005-0000-0000-000026010000}"/>
    <cellStyle name="Normal 2 4 2 5 2 2" xfId="746" xr:uid="{00000000-0005-0000-0000-000011030000}"/>
    <cellStyle name="Normal 2 4 2 5 2 2 2" xfId="2985" xr:uid="{00000000-0005-0000-0000-0000D00B0000}"/>
    <cellStyle name="Normal 2 4 2 5 2 2 2 2" xfId="7207" xr:uid="{00000000-0005-0000-0000-00004E1C0000}"/>
    <cellStyle name="Normal 2 4 2 5 2 2 2 2 2" xfId="16798" xr:uid="{68B56E00-4D91-4FB5-A949-E2AFD62E3EEC}"/>
    <cellStyle name="Normal 2 4 2 5 2 2 2 3" xfId="12577" xr:uid="{87705E43-0C99-4981-9C13-A114C69B8F73}"/>
    <cellStyle name="Normal 2 4 2 5 2 2 3" xfId="5062" xr:uid="{00000000-0005-0000-0000-0000ED130000}"/>
    <cellStyle name="Normal 2 4 2 5 2 2 3 2" xfId="14653" xr:uid="{059EA81D-7833-4118-8997-99413885D63B}"/>
    <cellStyle name="Normal 2 4 2 5 2 2 4" xfId="9453" xr:uid="{00000000-0005-0000-0000-000014250000}"/>
    <cellStyle name="Normal 2 4 2 5 2 2 5" xfId="10339" xr:uid="{3B9C747E-BE5E-4FF0-8117-AF7600272842}"/>
    <cellStyle name="Normal 2 4 2 5 2 3" xfId="1168" xr:uid="{00000000-0005-0000-0000-0000B7040000}"/>
    <cellStyle name="Normal 2 4 2 5 2 3 2" xfId="3398" xr:uid="{00000000-0005-0000-0000-00006D0D0000}"/>
    <cellStyle name="Normal 2 4 2 5 2 3 2 2" xfId="7620" xr:uid="{00000000-0005-0000-0000-0000EB1D0000}"/>
    <cellStyle name="Normal 2 4 2 5 2 3 2 2 2" xfId="17211" xr:uid="{99546278-8039-4587-9B9F-D671DB42C513}"/>
    <cellStyle name="Normal 2 4 2 5 2 3 2 3" xfId="12990" xr:uid="{846B4171-0E4E-443F-821F-AA0DF1E58771}"/>
    <cellStyle name="Normal 2 4 2 5 2 3 3" xfId="5475" xr:uid="{00000000-0005-0000-0000-00008A150000}"/>
    <cellStyle name="Normal 2 4 2 5 2 3 3 2" xfId="15066" xr:uid="{B8343D1A-F7EC-4F36-BEAA-A79B4ED79A43}"/>
    <cellStyle name="Normal 2 4 2 5 2 3 4" xfId="10761" xr:uid="{0CE0487F-9C4C-4619-A8B8-94316A1B449F}"/>
    <cellStyle name="Normal 2 4 2 5 2 4" xfId="1581" xr:uid="{00000000-0005-0000-0000-000054060000}"/>
    <cellStyle name="Normal 2 4 2 5 2 4 2" xfId="3811" xr:uid="{00000000-0005-0000-0000-00000A0F0000}"/>
    <cellStyle name="Normal 2 4 2 5 2 4 2 2" xfId="8033" xr:uid="{00000000-0005-0000-0000-0000881F0000}"/>
    <cellStyle name="Normal 2 4 2 5 2 4 2 2 2" xfId="17624" xr:uid="{7315B224-1ECF-43A7-89CD-90188221B808}"/>
    <cellStyle name="Normal 2 4 2 5 2 4 2 3" xfId="13403" xr:uid="{0BDB7846-7B93-49D0-BD8C-D5E20E61CEFC}"/>
    <cellStyle name="Normal 2 4 2 5 2 4 3" xfId="5888" xr:uid="{00000000-0005-0000-0000-000027170000}"/>
    <cellStyle name="Normal 2 4 2 5 2 4 3 2" xfId="15479" xr:uid="{27847203-89A5-4798-9F40-46B00C7FC5D4}"/>
    <cellStyle name="Normal 2 4 2 5 2 4 4" xfId="11174" xr:uid="{9FE6469B-D0E1-447C-BA25-619214418150}"/>
    <cellStyle name="Normal 2 4 2 5 2 5" xfId="1995" xr:uid="{00000000-0005-0000-0000-0000F2070000}"/>
    <cellStyle name="Normal 2 4 2 5 2 5 2" xfId="4224" xr:uid="{00000000-0005-0000-0000-0000A7100000}"/>
    <cellStyle name="Normal 2 4 2 5 2 5 2 2" xfId="8446" xr:uid="{00000000-0005-0000-0000-000025210000}"/>
    <cellStyle name="Normal 2 4 2 5 2 5 2 2 2" xfId="18037" xr:uid="{36BE1329-BD09-4A72-810C-346404DE652C}"/>
    <cellStyle name="Normal 2 4 2 5 2 5 2 3" xfId="13816" xr:uid="{3B4364DC-92E8-4EE1-BC1E-3028AB6F4127}"/>
    <cellStyle name="Normal 2 4 2 5 2 5 3" xfId="6301" xr:uid="{00000000-0005-0000-0000-0000C4180000}"/>
    <cellStyle name="Normal 2 4 2 5 2 5 3 2" xfId="15892" xr:uid="{F247B354-F6C4-43AD-8889-75E297D92351}"/>
    <cellStyle name="Normal 2 4 2 5 2 5 4" xfId="11587" xr:uid="{627CEE7F-8A84-4101-96EF-6A9C619FBBCA}"/>
    <cellStyle name="Normal 2 4 2 5 2 6" xfId="2431" xr:uid="{00000000-0005-0000-0000-0000A6090000}"/>
    <cellStyle name="Normal 2 4 2 5 2 6 2" xfId="6714" xr:uid="{00000000-0005-0000-0000-0000611A0000}"/>
    <cellStyle name="Normal 2 4 2 5 2 6 2 2" xfId="16305" xr:uid="{5FCB51E3-7478-4928-838C-DB3FD311260E}"/>
    <cellStyle name="Normal 2 4 2 5 2 6 3" xfId="12023" xr:uid="{5C5382AC-900B-4E28-A666-00BD4E0D1AE5}"/>
    <cellStyle name="Normal 2 4 2 5 2 7" xfId="4648" xr:uid="{00000000-0005-0000-0000-00004F120000}"/>
    <cellStyle name="Normal 2 4 2 5 2 7 2" xfId="14239" xr:uid="{1D9AADE2-6D3F-4EB8-9497-A0CF707F4284}"/>
    <cellStyle name="Normal 2 4 2 5 2 8" xfId="9028" xr:uid="{00000000-0005-0000-0000-00006B230000}"/>
    <cellStyle name="Normal 2 4 2 5 2 9" xfId="9864" xr:uid="{C207A6CE-0F47-4109-BC71-86CD1EE34131}"/>
    <cellStyle name="Normal 2 4 2 5 3" xfId="745" xr:uid="{00000000-0005-0000-0000-000010030000}"/>
    <cellStyle name="Normal 2 4 2 5 3 2" xfId="2984" xr:uid="{00000000-0005-0000-0000-0000CF0B0000}"/>
    <cellStyle name="Normal 2 4 2 5 3 2 2" xfId="7206" xr:uid="{00000000-0005-0000-0000-00004D1C0000}"/>
    <cellStyle name="Normal 2 4 2 5 3 2 2 2" xfId="16797" xr:uid="{8FFDE243-1E5B-49EE-994A-5F844E39D210}"/>
    <cellStyle name="Normal 2 4 2 5 3 2 3" xfId="12576" xr:uid="{EB06518C-4FAD-455C-9116-B29EB6538204}"/>
    <cellStyle name="Normal 2 4 2 5 3 3" xfId="5061" xr:uid="{00000000-0005-0000-0000-0000EC130000}"/>
    <cellStyle name="Normal 2 4 2 5 3 3 2" xfId="14652" xr:uid="{C9F0131E-9A38-490A-BA39-CBFFC60D95D8}"/>
    <cellStyle name="Normal 2 4 2 5 3 4" xfId="9246" xr:uid="{00000000-0005-0000-0000-000045240000}"/>
    <cellStyle name="Normal 2 4 2 5 3 5" xfId="10338" xr:uid="{AB45C153-CB82-46D6-A1B4-52D8EBD2F2E1}"/>
    <cellStyle name="Normal 2 4 2 5 4" xfId="1167" xr:uid="{00000000-0005-0000-0000-0000B6040000}"/>
    <cellStyle name="Normal 2 4 2 5 4 2" xfId="3397" xr:uid="{00000000-0005-0000-0000-00006C0D0000}"/>
    <cellStyle name="Normal 2 4 2 5 4 2 2" xfId="7619" xr:uid="{00000000-0005-0000-0000-0000EA1D0000}"/>
    <cellStyle name="Normal 2 4 2 5 4 2 2 2" xfId="17210" xr:uid="{01EA5E08-C841-49BD-AE45-210B4C5E6F95}"/>
    <cellStyle name="Normal 2 4 2 5 4 2 3" xfId="12989" xr:uid="{D1102A96-2302-402E-A60D-A4EC25FE5697}"/>
    <cellStyle name="Normal 2 4 2 5 4 3" xfId="5474" xr:uid="{00000000-0005-0000-0000-000089150000}"/>
    <cellStyle name="Normal 2 4 2 5 4 3 2" xfId="15065" xr:uid="{563907DB-FE7A-4F8C-A76E-AD0583960524}"/>
    <cellStyle name="Normal 2 4 2 5 4 4" xfId="10760" xr:uid="{CB9FBD86-D008-4FD5-9688-A67A345BCCC0}"/>
    <cellStyle name="Normal 2 4 2 5 5" xfId="1580" xr:uid="{00000000-0005-0000-0000-000053060000}"/>
    <cellStyle name="Normal 2 4 2 5 5 2" xfId="3810" xr:uid="{00000000-0005-0000-0000-0000090F0000}"/>
    <cellStyle name="Normal 2 4 2 5 5 2 2" xfId="8032" xr:uid="{00000000-0005-0000-0000-0000871F0000}"/>
    <cellStyle name="Normal 2 4 2 5 5 2 2 2" xfId="17623" xr:uid="{BB1ED737-19BF-4081-890B-B23BA8993D57}"/>
    <cellStyle name="Normal 2 4 2 5 5 2 3" xfId="13402" xr:uid="{20FDDEBD-EAC0-4B69-BA03-F0AEB01D9D11}"/>
    <cellStyle name="Normal 2 4 2 5 5 3" xfId="5887" xr:uid="{00000000-0005-0000-0000-000026170000}"/>
    <cellStyle name="Normal 2 4 2 5 5 3 2" xfId="15478" xr:uid="{CE75271C-4852-439C-B117-49879B671B8D}"/>
    <cellStyle name="Normal 2 4 2 5 5 4" xfId="11173" xr:uid="{1AD9AAB5-DC50-40AF-928C-FBA1F17E23D2}"/>
    <cellStyle name="Normal 2 4 2 5 6" xfId="1994" xr:uid="{00000000-0005-0000-0000-0000F1070000}"/>
    <cellStyle name="Normal 2 4 2 5 6 2" xfId="4223" xr:uid="{00000000-0005-0000-0000-0000A6100000}"/>
    <cellStyle name="Normal 2 4 2 5 6 2 2" xfId="8445" xr:uid="{00000000-0005-0000-0000-000024210000}"/>
    <cellStyle name="Normal 2 4 2 5 6 2 2 2" xfId="18036" xr:uid="{181D4767-3D03-45A9-A76C-2B69FD4E30DD}"/>
    <cellStyle name="Normal 2 4 2 5 6 2 3" xfId="13815" xr:uid="{477CF98C-2053-47C1-B006-E121882BD519}"/>
    <cellStyle name="Normal 2 4 2 5 6 3" xfId="6300" xr:uid="{00000000-0005-0000-0000-0000C3180000}"/>
    <cellStyle name="Normal 2 4 2 5 6 3 2" xfId="15891" xr:uid="{460F427E-4DAB-445F-98A9-54DEDE314773}"/>
    <cellStyle name="Normal 2 4 2 5 6 4" xfId="11586" xr:uid="{F8DAE24C-A756-4CE1-84DF-C4FF98A2AA6A}"/>
    <cellStyle name="Normal 2 4 2 5 7" xfId="2430" xr:uid="{00000000-0005-0000-0000-0000A5090000}"/>
    <cellStyle name="Normal 2 4 2 5 7 2" xfId="6713" xr:uid="{00000000-0005-0000-0000-0000601A0000}"/>
    <cellStyle name="Normal 2 4 2 5 7 2 2" xfId="16304" xr:uid="{D0195296-3D07-4E1F-8E6B-3692F80DC0F8}"/>
    <cellStyle name="Normal 2 4 2 5 7 3" xfId="12022" xr:uid="{BB53A91F-4319-4B03-AEE7-04EB51A9643A}"/>
    <cellStyle name="Normal 2 4 2 5 8" xfId="4647" xr:uid="{00000000-0005-0000-0000-00004E120000}"/>
    <cellStyle name="Normal 2 4 2 5 8 2" xfId="14238" xr:uid="{1E2C9E7F-EFAB-4F79-9908-2CAB949D87D2}"/>
    <cellStyle name="Normal 2 4 2 5 9" xfId="8821" xr:uid="{00000000-0005-0000-0000-00009C220000}"/>
    <cellStyle name="Normal 2 4 2 6" xfId="259" xr:uid="{00000000-0005-0000-0000-000027010000}"/>
    <cellStyle name="Normal 2 4 2 6 2" xfId="747" xr:uid="{00000000-0005-0000-0000-000012030000}"/>
    <cellStyle name="Normal 2 4 2 6 2 2" xfId="2986" xr:uid="{00000000-0005-0000-0000-0000D10B0000}"/>
    <cellStyle name="Normal 2 4 2 6 2 2 2" xfId="7208" xr:uid="{00000000-0005-0000-0000-00004F1C0000}"/>
    <cellStyle name="Normal 2 4 2 6 2 2 2 2" xfId="16799" xr:uid="{8FE90BEE-B562-448A-ACCE-78833EF984C3}"/>
    <cellStyle name="Normal 2 4 2 6 2 2 3" xfId="12578" xr:uid="{D4771B31-3823-42C2-8C4A-FA2CA2822F31}"/>
    <cellStyle name="Normal 2 4 2 6 2 3" xfId="5063" xr:uid="{00000000-0005-0000-0000-0000EE130000}"/>
    <cellStyle name="Normal 2 4 2 6 2 3 2" xfId="14654" xr:uid="{95315849-C0D3-4FC3-8FEC-3E98676234C3}"/>
    <cellStyle name="Normal 2 4 2 6 2 4" xfId="9362" xr:uid="{00000000-0005-0000-0000-0000B9240000}"/>
    <cellStyle name="Normal 2 4 2 6 2 5" xfId="10340" xr:uid="{A8FB3E92-4FAD-490A-857B-6327C8368F9A}"/>
    <cellStyle name="Normal 2 4 2 6 3" xfId="1169" xr:uid="{00000000-0005-0000-0000-0000B8040000}"/>
    <cellStyle name="Normal 2 4 2 6 3 2" xfId="3399" xr:uid="{00000000-0005-0000-0000-00006E0D0000}"/>
    <cellStyle name="Normal 2 4 2 6 3 2 2" xfId="7621" xr:uid="{00000000-0005-0000-0000-0000EC1D0000}"/>
    <cellStyle name="Normal 2 4 2 6 3 2 2 2" xfId="17212" xr:uid="{3AE82782-8B6E-429B-846F-DC0BF633997E}"/>
    <cellStyle name="Normal 2 4 2 6 3 2 3" xfId="12991" xr:uid="{CC47D24C-243E-4A21-B217-F26F119146D7}"/>
    <cellStyle name="Normal 2 4 2 6 3 3" xfId="5476" xr:uid="{00000000-0005-0000-0000-00008B150000}"/>
    <cellStyle name="Normal 2 4 2 6 3 3 2" xfId="15067" xr:uid="{3EACD43F-DE32-4B3B-9A94-EF9A33C8D537}"/>
    <cellStyle name="Normal 2 4 2 6 3 4" xfId="10762" xr:uid="{E39342B4-4380-4D6D-A418-65807E527BB3}"/>
    <cellStyle name="Normal 2 4 2 6 4" xfId="1582" xr:uid="{00000000-0005-0000-0000-000055060000}"/>
    <cellStyle name="Normal 2 4 2 6 4 2" xfId="3812" xr:uid="{00000000-0005-0000-0000-00000B0F0000}"/>
    <cellStyle name="Normal 2 4 2 6 4 2 2" xfId="8034" xr:uid="{00000000-0005-0000-0000-0000891F0000}"/>
    <cellStyle name="Normal 2 4 2 6 4 2 2 2" xfId="17625" xr:uid="{C89BE1B9-A0A2-4684-B5F5-14DE4C7C31C0}"/>
    <cellStyle name="Normal 2 4 2 6 4 2 3" xfId="13404" xr:uid="{B35260F3-28A1-4815-ACBC-1302189D5DE3}"/>
    <cellStyle name="Normal 2 4 2 6 4 3" xfId="5889" xr:uid="{00000000-0005-0000-0000-000028170000}"/>
    <cellStyle name="Normal 2 4 2 6 4 3 2" xfId="15480" xr:uid="{74C89732-E2A8-4255-ACD9-33C121966EE1}"/>
    <cellStyle name="Normal 2 4 2 6 4 4" xfId="11175" xr:uid="{8B592B6F-153E-4719-AED8-141D90F27648}"/>
    <cellStyle name="Normal 2 4 2 6 5" xfId="1996" xr:uid="{00000000-0005-0000-0000-0000F3070000}"/>
    <cellStyle name="Normal 2 4 2 6 5 2" xfId="4225" xr:uid="{00000000-0005-0000-0000-0000A8100000}"/>
    <cellStyle name="Normal 2 4 2 6 5 2 2" xfId="8447" xr:uid="{00000000-0005-0000-0000-000026210000}"/>
    <cellStyle name="Normal 2 4 2 6 5 2 2 2" xfId="18038" xr:uid="{D4ABEBC9-C348-443A-9E5A-810FDF73A956}"/>
    <cellStyle name="Normal 2 4 2 6 5 2 3" xfId="13817" xr:uid="{1C798358-82B7-44C9-A708-479C1B0C2619}"/>
    <cellStyle name="Normal 2 4 2 6 5 3" xfId="6302" xr:uid="{00000000-0005-0000-0000-0000C5180000}"/>
    <cellStyle name="Normal 2 4 2 6 5 3 2" xfId="15893" xr:uid="{7F80D212-6D25-4D2F-83BF-A07A2D705066}"/>
    <cellStyle name="Normal 2 4 2 6 5 4" xfId="11588" xr:uid="{20980670-C23A-4ABA-AD37-F405CFC335D0}"/>
    <cellStyle name="Normal 2 4 2 6 6" xfId="2432" xr:uid="{00000000-0005-0000-0000-0000A7090000}"/>
    <cellStyle name="Normal 2 4 2 6 6 2" xfId="6715" xr:uid="{00000000-0005-0000-0000-0000621A0000}"/>
    <cellStyle name="Normal 2 4 2 6 6 2 2" xfId="16306" xr:uid="{898A77FE-2163-4BD5-AE56-5C65F0473C57}"/>
    <cellStyle name="Normal 2 4 2 6 6 3" xfId="12024" xr:uid="{4FF8D5B5-E2A1-4BF9-9FA5-8730637AEDD2}"/>
    <cellStyle name="Normal 2 4 2 6 7" xfId="4649" xr:uid="{00000000-0005-0000-0000-000050120000}"/>
    <cellStyle name="Normal 2 4 2 6 7 2" xfId="14240" xr:uid="{D3B97383-14FD-48AD-872A-97B96E0AE3DD}"/>
    <cellStyle name="Normal 2 4 2 6 8" xfId="8937" xr:uid="{00000000-0005-0000-0000-000010230000}"/>
    <cellStyle name="Normal 2 4 2 6 9" xfId="9865" xr:uid="{D7959D52-7335-438B-868E-6203C240BB38}"/>
    <cellStyle name="Normal 2 4 2 7" xfId="732" xr:uid="{00000000-0005-0000-0000-000003030000}"/>
    <cellStyle name="Normal 2 4 2 7 2" xfId="2971" xr:uid="{00000000-0005-0000-0000-0000C20B0000}"/>
    <cellStyle name="Normal 2 4 2 7 2 2" xfId="7193" xr:uid="{00000000-0005-0000-0000-0000401C0000}"/>
    <cellStyle name="Normal 2 4 2 7 2 2 2" xfId="16784" xr:uid="{FD8326F9-98BF-4669-AD24-6758BB976255}"/>
    <cellStyle name="Normal 2 4 2 7 2 3" xfId="12563" xr:uid="{C282B743-686F-4E6B-A8D7-1716D7694121}"/>
    <cellStyle name="Normal 2 4 2 7 3" xfId="5048" xr:uid="{00000000-0005-0000-0000-0000DF130000}"/>
    <cellStyle name="Normal 2 4 2 7 3 2" xfId="14639" xr:uid="{4F7C772A-F7A6-488F-A35D-1357DC693BA7}"/>
    <cellStyle name="Normal 2 4 2 7 4" xfId="9140" xr:uid="{00000000-0005-0000-0000-0000DB230000}"/>
    <cellStyle name="Normal 2 4 2 7 5" xfId="10325" xr:uid="{DD239329-F526-4715-A04D-1C75B8EEE62B}"/>
    <cellStyle name="Normal 2 4 2 8" xfId="1154" xr:uid="{00000000-0005-0000-0000-0000A9040000}"/>
    <cellStyle name="Normal 2 4 2 8 2" xfId="3384" xr:uid="{00000000-0005-0000-0000-00005F0D0000}"/>
    <cellStyle name="Normal 2 4 2 8 2 2" xfId="7606" xr:uid="{00000000-0005-0000-0000-0000DD1D0000}"/>
    <cellStyle name="Normal 2 4 2 8 2 2 2" xfId="17197" xr:uid="{2AC69EF8-3A7C-4199-83E7-5C57B21CB6A6}"/>
    <cellStyle name="Normal 2 4 2 8 2 3" xfId="12976" xr:uid="{21175A57-221D-49F3-AEB7-D84C12E725E7}"/>
    <cellStyle name="Normal 2 4 2 8 3" xfId="5461" xr:uid="{00000000-0005-0000-0000-00007C150000}"/>
    <cellStyle name="Normal 2 4 2 8 3 2" xfId="15052" xr:uid="{9F3504A1-61A6-4BCE-8F75-3FF3E312AF00}"/>
    <cellStyle name="Normal 2 4 2 8 4" xfId="10747" xr:uid="{0CC4F02D-533C-4219-9A96-A060B9D403A3}"/>
    <cellStyle name="Normal 2 4 2 9" xfId="1567" xr:uid="{00000000-0005-0000-0000-000046060000}"/>
    <cellStyle name="Normal 2 4 2 9 2" xfId="3797" xr:uid="{00000000-0005-0000-0000-0000FC0E0000}"/>
    <cellStyle name="Normal 2 4 2 9 2 2" xfId="8019" xr:uid="{00000000-0005-0000-0000-00007A1F0000}"/>
    <cellStyle name="Normal 2 4 2 9 2 2 2" xfId="17610" xr:uid="{341A9952-BBAD-4B61-985F-ADA757689BB1}"/>
    <cellStyle name="Normal 2 4 2 9 2 3" xfId="13389" xr:uid="{0C20563B-9F9A-4A2D-959D-63869309727E}"/>
    <cellStyle name="Normal 2 4 2 9 3" xfId="5874" xr:uid="{00000000-0005-0000-0000-000019170000}"/>
    <cellStyle name="Normal 2 4 2 9 3 2" xfId="15465" xr:uid="{79DD9378-BA5C-4E03-9E6C-D1B61CB89B8B}"/>
    <cellStyle name="Normal 2 4 2 9 4" xfId="11160" xr:uid="{C4CEF813-2ED9-43BF-A3B5-45783916EFA8}"/>
    <cellStyle name="Normal 2 4 3" xfId="260" xr:uid="{00000000-0005-0000-0000-000028010000}"/>
    <cellStyle name="Normal 2 4 3 10" xfId="9866" xr:uid="{D7F0607C-093E-4C9A-AA00-271B4D0E194E}"/>
    <cellStyle name="Normal 2 4 3 2" xfId="261" xr:uid="{00000000-0005-0000-0000-000029010000}"/>
    <cellStyle name="Normal 2 4 3 3" xfId="262" xr:uid="{00000000-0005-0000-0000-00002A010000}"/>
    <cellStyle name="Normal 2 4 3 3 10" xfId="8775" xr:uid="{00000000-0005-0000-0000-00006E220000}"/>
    <cellStyle name="Normal 2 4 3 3 11" xfId="9867" xr:uid="{F425BBF1-2C75-473A-BA7B-D07C7FF3BBBB}"/>
    <cellStyle name="Normal 2 4 3 3 2" xfId="263" xr:uid="{00000000-0005-0000-0000-00002B010000}"/>
    <cellStyle name="Normal 2 4 3 3 2 10" xfId="9868" xr:uid="{F15E459C-FCBE-4B94-A241-FE1DA6F763DB}"/>
    <cellStyle name="Normal 2 4 3 3 2 2" xfId="264" xr:uid="{00000000-0005-0000-0000-00002C010000}"/>
    <cellStyle name="Normal 2 4 3 3 2 2 2" xfId="751" xr:uid="{00000000-0005-0000-0000-000016030000}"/>
    <cellStyle name="Normal 2 4 3 3 2 2 2 2" xfId="2990" xr:uid="{00000000-0005-0000-0000-0000D50B0000}"/>
    <cellStyle name="Normal 2 4 3 3 2 2 2 2 2" xfId="7212" xr:uid="{00000000-0005-0000-0000-0000531C0000}"/>
    <cellStyle name="Normal 2 4 3 3 2 2 2 2 2 2" xfId="16803" xr:uid="{4688A297-3FCF-45D3-A7F7-8F9654E346E1}"/>
    <cellStyle name="Normal 2 4 3 3 2 2 2 2 3" xfId="12582" xr:uid="{1EBCEF4B-7C07-4C5F-8163-8F4DE5211522}"/>
    <cellStyle name="Normal 2 4 3 3 2 2 2 3" xfId="5067" xr:uid="{00000000-0005-0000-0000-0000F2130000}"/>
    <cellStyle name="Normal 2 4 3 3 2 2 2 3 2" xfId="14658" xr:uid="{C909D1AE-FAB7-422C-8FAE-CDFD1343A9DE}"/>
    <cellStyle name="Normal 2 4 3 3 2 2 2 4" xfId="9510" xr:uid="{00000000-0005-0000-0000-00004D250000}"/>
    <cellStyle name="Normal 2 4 3 3 2 2 2 5" xfId="10344" xr:uid="{5DFB568F-E560-4908-92F0-931BE112AE2F}"/>
    <cellStyle name="Normal 2 4 3 3 2 2 3" xfId="1173" xr:uid="{00000000-0005-0000-0000-0000BC040000}"/>
    <cellStyle name="Normal 2 4 3 3 2 2 3 2" xfId="3403" xr:uid="{00000000-0005-0000-0000-0000720D0000}"/>
    <cellStyle name="Normal 2 4 3 3 2 2 3 2 2" xfId="7625" xr:uid="{00000000-0005-0000-0000-0000F01D0000}"/>
    <cellStyle name="Normal 2 4 3 3 2 2 3 2 2 2" xfId="17216" xr:uid="{1011E55A-972D-4D94-9345-D5D56E86333C}"/>
    <cellStyle name="Normal 2 4 3 3 2 2 3 2 3" xfId="12995" xr:uid="{19165A9D-B3F2-4838-BE20-8B02837EFA06}"/>
    <cellStyle name="Normal 2 4 3 3 2 2 3 3" xfId="5480" xr:uid="{00000000-0005-0000-0000-00008F150000}"/>
    <cellStyle name="Normal 2 4 3 3 2 2 3 3 2" xfId="15071" xr:uid="{2E9036D6-4F02-46C6-9BA0-297F00D99915}"/>
    <cellStyle name="Normal 2 4 3 3 2 2 3 4" xfId="10766" xr:uid="{D2836573-A6E7-449E-99B8-5152E7B33B60}"/>
    <cellStyle name="Normal 2 4 3 3 2 2 4" xfId="1586" xr:uid="{00000000-0005-0000-0000-000059060000}"/>
    <cellStyle name="Normal 2 4 3 3 2 2 4 2" xfId="3816" xr:uid="{00000000-0005-0000-0000-00000F0F0000}"/>
    <cellStyle name="Normal 2 4 3 3 2 2 4 2 2" xfId="8038" xr:uid="{00000000-0005-0000-0000-00008D1F0000}"/>
    <cellStyle name="Normal 2 4 3 3 2 2 4 2 2 2" xfId="17629" xr:uid="{9104006A-F666-4874-86E0-C59CEF3570CE}"/>
    <cellStyle name="Normal 2 4 3 3 2 2 4 2 3" xfId="13408" xr:uid="{8A5C6067-C41C-4BF2-B6F7-86552569C29E}"/>
    <cellStyle name="Normal 2 4 3 3 2 2 4 3" xfId="5893" xr:uid="{00000000-0005-0000-0000-00002C170000}"/>
    <cellStyle name="Normal 2 4 3 3 2 2 4 3 2" xfId="15484" xr:uid="{21F515AB-2FF6-41F0-B6FF-D60584B2A031}"/>
    <cellStyle name="Normal 2 4 3 3 2 2 4 4" xfId="11179" xr:uid="{240D64E9-78F8-4FB5-BE5E-2952D77F97E4}"/>
    <cellStyle name="Normal 2 4 3 3 2 2 5" xfId="2000" xr:uid="{00000000-0005-0000-0000-0000F7070000}"/>
    <cellStyle name="Normal 2 4 3 3 2 2 5 2" xfId="4229" xr:uid="{00000000-0005-0000-0000-0000AC100000}"/>
    <cellStyle name="Normal 2 4 3 3 2 2 5 2 2" xfId="8451" xr:uid="{00000000-0005-0000-0000-00002A210000}"/>
    <cellStyle name="Normal 2 4 3 3 2 2 5 2 2 2" xfId="18042" xr:uid="{5733046C-F246-43AA-AB55-4C7720D16B99}"/>
    <cellStyle name="Normal 2 4 3 3 2 2 5 2 3" xfId="13821" xr:uid="{7EB3D97A-56CE-4871-818B-92DFDEFAB3E7}"/>
    <cellStyle name="Normal 2 4 3 3 2 2 5 3" xfId="6306" xr:uid="{00000000-0005-0000-0000-0000C9180000}"/>
    <cellStyle name="Normal 2 4 3 3 2 2 5 3 2" xfId="15897" xr:uid="{7DC6CAC7-41DC-4DB3-9FFF-C8B567435B11}"/>
    <cellStyle name="Normal 2 4 3 3 2 2 5 4" xfId="11592" xr:uid="{0DA1B03B-5497-419C-ACF5-EAC176FC2D34}"/>
    <cellStyle name="Normal 2 4 3 3 2 2 6" xfId="2436" xr:uid="{00000000-0005-0000-0000-0000AB090000}"/>
    <cellStyle name="Normal 2 4 3 3 2 2 6 2" xfId="6719" xr:uid="{00000000-0005-0000-0000-0000661A0000}"/>
    <cellStyle name="Normal 2 4 3 3 2 2 6 2 2" xfId="16310" xr:uid="{7E3088D5-7ABA-43F5-B0A6-0746075A27EB}"/>
    <cellStyle name="Normal 2 4 3 3 2 2 6 3" xfId="12028" xr:uid="{DF56959A-3CFE-4C20-93FE-F07441C1CF0D}"/>
    <cellStyle name="Normal 2 4 3 3 2 2 7" xfId="4653" xr:uid="{00000000-0005-0000-0000-000054120000}"/>
    <cellStyle name="Normal 2 4 3 3 2 2 7 2" xfId="14244" xr:uid="{2D304889-B782-49CD-97F0-B5067C3860B1}"/>
    <cellStyle name="Normal 2 4 3 3 2 2 8" xfId="9085" xr:uid="{00000000-0005-0000-0000-0000A4230000}"/>
    <cellStyle name="Normal 2 4 3 3 2 2 9" xfId="9869" xr:uid="{499D8763-A31E-4C17-9023-BAEBC9892103}"/>
    <cellStyle name="Normal 2 4 3 3 2 3" xfId="750" xr:uid="{00000000-0005-0000-0000-000015030000}"/>
    <cellStyle name="Normal 2 4 3 3 2 3 2" xfId="2989" xr:uid="{00000000-0005-0000-0000-0000D40B0000}"/>
    <cellStyle name="Normal 2 4 3 3 2 3 2 2" xfId="7211" xr:uid="{00000000-0005-0000-0000-0000521C0000}"/>
    <cellStyle name="Normal 2 4 3 3 2 3 2 2 2" xfId="16802" xr:uid="{7FE0589E-F3C3-465C-AFE7-889FAB8FFAE4}"/>
    <cellStyle name="Normal 2 4 3 3 2 3 2 3" xfId="12581" xr:uid="{FDC85E55-EE6C-4A4D-971F-E0820CB3BF57}"/>
    <cellStyle name="Normal 2 4 3 3 2 3 3" xfId="5066" xr:uid="{00000000-0005-0000-0000-0000F1130000}"/>
    <cellStyle name="Normal 2 4 3 3 2 3 3 2" xfId="14657" xr:uid="{7B621E79-AA7E-48F1-80FE-DDDE9C1E8AAD}"/>
    <cellStyle name="Normal 2 4 3 3 2 3 4" xfId="9303" xr:uid="{00000000-0005-0000-0000-00007E240000}"/>
    <cellStyle name="Normal 2 4 3 3 2 3 5" xfId="10343" xr:uid="{FAB28550-2C72-409E-BF78-29B751A455A6}"/>
    <cellStyle name="Normal 2 4 3 3 2 4" xfId="1172" xr:uid="{00000000-0005-0000-0000-0000BB040000}"/>
    <cellStyle name="Normal 2 4 3 3 2 4 2" xfId="3402" xr:uid="{00000000-0005-0000-0000-0000710D0000}"/>
    <cellStyle name="Normal 2 4 3 3 2 4 2 2" xfId="7624" xr:uid="{00000000-0005-0000-0000-0000EF1D0000}"/>
    <cellStyle name="Normal 2 4 3 3 2 4 2 2 2" xfId="17215" xr:uid="{15A0FC50-2541-43E8-B6D8-906B1AE2629C}"/>
    <cellStyle name="Normal 2 4 3 3 2 4 2 3" xfId="12994" xr:uid="{6EE7562F-66F2-44F1-9715-5F01384D8982}"/>
    <cellStyle name="Normal 2 4 3 3 2 4 3" xfId="5479" xr:uid="{00000000-0005-0000-0000-00008E150000}"/>
    <cellStyle name="Normal 2 4 3 3 2 4 3 2" xfId="15070" xr:uid="{82D16C92-816C-403E-9725-9B70DDC6A735}"/>
    <cellStyle name="Normal 2 4 3 3 2 4 4" xfId="10765" xr:uid="{9C16B27F-F995-4747-A12D-5B28021208BB}"/>
    <cellStyle name="Normal 2 4 3 3 2 5" xfId="1585" xr:uid="{00000000-0005-0000-0000-000058060000}"/>
    <cellStyle name="Normal 2 4 3 3 2 5 2" xfId="3815" xr:uid="{00000000-0005-0000-0000-00000E0F0000}"/>
    <cellStyle name="Normal 2 4 3 3 2 5 2 2" xfId="8037" xr:uid="{00000000-0005-0000-0000-00008C1F0000}"/>
    <cellStyle name="Normal 2 4 3 3 2 5 2 2 2" xfId="17628" xr:uid="{88F8BB7E-0F9E-42CA-8C17-B2990E595556}"/>
    <cellStyle name="Normal 2 4 3 3 2 5 2 3" xfId="13407" xr:uid="{19125847-767B-4C0C-8884-DA771576A26C}"/>
    <cellStyle name="Normal 2 4 3 3 2 5 3" xfId="5892" xr:uid="{00000000-0005-0000-0000-00002B170000}"/>
    <cellStyle name="Normal 2 4 3 3 2 5 3 2" xfId="15483" xr:uid="{47E7C296-7D58-4FEB-9A28-F049BC6EC3A6}"/>
    <cellStyle name="Normal 2 4 3 3 2 5 4" xfId="11178" xr:uid="{03C62EB1-53DF-48B8-ADD0-42318F353F53}"/>
    <cellStyle name="Normal 2 4 3 3 2 6" xfId="1999" xr:uid="{00000000-0005-0000-0000-0000F6070000}"/>
    <cellStyle name="Normal 2 4 3 3 2 6 2" xfId="4228" xr:uid="{00000000-0005-0000-0000-0000AB100000}"/>
    <cellStyle name="Normal 2 4 3 3 2 6 2 2" xfId="8450" xr:uid="{00000000-0005-0000-0000-000029210000}"/>
    <cellStyle name="Normal 2 4 3 3 2 6 2 2 2" xfId="18041" xr:uid="{0FC17B34-9799-4BDB-AF43-4476A9B0FA13}"/>
    <cellStyle name="Normal 2 4 3 3 2 6 2 3" xfId="13820" xr:uid="{E6BACCEF-5155-4949-B84A-1E35A158A193}"/>
    <cellStyle name="Normal 2 4 3 3 2 6 3" xfId="6305" xr:uid="{00000000-0005-0000-0000-0000C8180000}"/>
    <cellStyle name="Normal 2 4 3 3 2 6 3 2" xfId="15896" xr:uid="{8A90EBF5-27A1-46AB-BD2A-FC26C4E3FAA7}"/>
    <cellStyle name="Normal 2 4 3 3 2 6 4" xfId="11591" xr:uid="{95DF12C0-E71D-4CA7-B50F-F7A730E3EF9C}"/>
    <cellStyle name="Normal 2 4 3 3 2 7" xfId="2435" xr:uid="{00000000-0005-0000-0000-0000AA090000}"/>
    <cellStyle name="Normal 2 4 3 3 2 7 2" xfId="6718" xr:uid="{00000000-0005-0000-0000-0000651A0000}"/>
    <cellStyle name="Normal 2 4 3 3 2 7 2 2" xfId="16309" xr:uid="{E98341E1-84AA-469E-8949-4E7BAD3A080F}"/>
    <cellStyle name="Normal 2 4 3 3 2 7 3" xfId="12027" xr:uid="{273CE527-930D-41E8-B27E-38189A30A486}"/>
    <cellStyle name="Normal 2 4 3 3 2 8" xfId="4652" xr:uid="{00000000-0005-0000-0000-000053120000}"/>
    <cellStyle name="Normal 2 4 3 3 2 8 2" xfId="14243" xr:uid="{2AA7AA0A-34C8-40B7-A391-E5B8F409EDC7}"/>
    <cellStyle name="Normal 2 4 3 3 2 9" xfId="8878" xr:uid="{00000000-0005-0000-0000-0000D5220000}"/>
    <cellStyle name="Normal 2 4 3 3 3" xfId="265" xr:uid="{00000000-0005-0000-0000-00002D010000}"/>
    <cellStyle name="Normal 2 4 3 3 3 2" xfId="752" xr:uid="{00000000-0005-0000-0000-000017030000}"/>
    <cellStyle name="Normal 2 4 3 3 3 2 2" xfId="2991" xr:uid="{00000000-0005-0000-0000-0000D60B0000}"/>
    <cellStyle name="Normal 2 4 3 3 3 2 2 2" xfId="7213" xr:uid="{00000000-0005-0000-0000-0000541C0000}"/>
    <cellStyle name="Normal 2 4 3 3 3 2 2 2 2" xfId="16804" xr:uid="{46AACED5-4869-4DAB-B1C5-50E1657A69A2}"/>
    <cellStyle name="Normal 2 4 3 3 3 2 2 3" xfId="12583" xr:uid="{E7919A2B-1D37-47D6-8F50-05B4493F66BD}"/>
    <cellStyle name="Normal 2 4 3 3 3 2 3" xfId="5068" xr:uid="{00000000-0005-0000-0000-0000F3130000}"/>
    <cellStyle name="Normal 2 4 3 3 3 2 3 2" xfId="14659" xr:uid="{69F86E8E-F241-43EC-A900-BD2EA23DBD5D}"/>
    <cellStyle name="Normal 2 4 3 3 3 2 4" xfId="9407" xr:uid="{00000000-0005-0000-0000-0000E6240000}"/>
    <cellStyle name="Normal 2 4 3 3 3 2 5" xfId="10345" xr:uid="{6227FEDE-4E63-494B-8348-248D76FB31B8}"/>
    <cellStyle name="Normal 2 4 3 3 3 3" xfId="1174" xr:uid="{00000000-0005-0000-0000-0000BD040000}"/>
    <cellStyle name="Normal 2 4 3 3 3 3 2" xfId="3404" xr:uid="{00000000-0005-0000-0000-0000730D0000}"/>
    <cellStyle name="Normal 2 4 3 3 3 3 2 2" xfId="7626" xr:uid="{00000000-0005-0000-0000-0000F11D0000}"/>
    <cellStyle name="Normal 2 4 3 3 3 3 2 2 2" xfId="17217" xr:uid="{D34AEED5-0D62-4B64-8932-F1C7560D0685}"/>
    <cellStyle name="Normal 2 4 3 3 3 3 2 3" xfId="12996" xr:uid="{70135E12-C6ED-48CC-9DD3-62C473CD3641}"/>
    <cellStyle name="Normal 2 4 3 3 3 3 3" xfId="5481" xr:uid="{00000000-0005-0000-0000-000090150000}"/>
    <cellStyle name="Normal 2 4 3 3 3 3 3 2" xfId="15072" xr:uid="{4C4C6870-11B2-4605-8EE9-2796284C2EA8}"/>
    <cellStyle name="Normal 2 4 3 3 3 3 4" xfId="10767" xr:uid="{8110A4DD-11A6-4572-9313-547A91DEEE82}"/>
    <cellStyle name="Normal 2 4 3 3 3 4" xfId="1587" xr:uid="{00000000-0005-0000-0000-00005A060000}"/>
    <cellStyle name="Normal 2 4 3 3 3 4 2" xfId="3817" xr:uid="{00000000-0005-0000-0000-0000100F0000}"/>
    <cellStyle name="Normal 2 4 3 3 3 4 2 2" xfId="8039" xr:uid="{00000000-0005-0000-0000-00008E1F0000}"/>
    <cellStyle name="Normal 2 4 3 3 3 4 2 2 2" xfId="17630" xr:uid="{F48F9C68-9478-457C-9780-F864CD42A241}"/>
    <cellStyle name="Normal 2 4 3 3 3 4 2 3" xfId="13409" xr:uid="{C562E948-CD4D-427C-9722-60134067A0BE}"/>
    <cellStyle name="Normal 2 4 3 3 3 4 3" xfId="5894" xr:uid="{00000000-0005-0000-0000-00002D170000}"/>
    <cellStyle name="Normal 2 4 3 3 3 4 3 2" xfId="15485" xr:uid="{4DD68F52-E569-4220-B5B9-22AC0272BB52}"/>
    <cellStyle name="Normal 2 4 3 3 3 4 4" xfId="11180" xr:uid="{408E0263-D63B-4DA8-A205-CD2B6464C356}"/>
    <cellStyle name="Normal 2 4 3 3 3 5" xfId="2001" xr:uid="{00000000-0005-0000-0000-0000F8070000}"/>
    <cellStyle name="Normal 2 4 3 3 3 5 2" xfId="4230" xr:uid="{00000000-0005-0000-0000-0000AD100000}"/>
    <cellStyle name="Normal 2 4 3 3 3 5 2 2" xfId="8452" xr:uid="{00000000-0005-0000-0000-00002B210000}"/>
    <cellStyle name="Normal 2 4 3 3 3 5 2 2 2" xfId="18043" xr:uid="{C6812ABB-DDF2-4006-9D68-4FB31F3B8165}"/>
    <cellStyle name="Normal 2 4 3 3 3 5 2 3" xfId="13822" xr:uid="{5059D812-F305-4FC6-AD7A-959E4FD8D602}"/>
    <cellStyle name="Normal 2 4 3 3 3 5 3" xfId="6307" xr:uid="{00000000-0005-0000-0000-0000CA180000}"/>
    <cellStyle name="Normal 2 4 3 3 3 5 3 2" xfId="15898" xr:uid="{4E53E88D-A9EA-41A8-A168-92488A55260D}"/>
    <cellStyle name="Normal 2 4 3 3 3 5 4" xfId="11593" xr:uid="{E50CC9DD-CD4D-490E-9409-5D034610ADAD}"/>
    <cellStyle name="Normal 2 4 3 3 3 6" xfId="2437" xr:uid="{00000000-0005-0000-0000-0000AC090000}"/>
    <cellStyle name="Normal 2 4 3 3 3 6 2" xfId="6720" xr:uid="{00000000-0005-0000-0000-0000671A0000}"/>
    <cellStyle name="Normal 2 4 3 3 3 6 2 2" xfId="16311" xr:uid="{BC0E9AA2-CFE7-4645-ACAD-59A1B3543F63}"/>
    <cellStyle name="Normal 2 4 3 3 3 6 3" xfId="12029" xr:uid="{3B7463FF-898F-4E19-ABD1-7DC9352FBCF0}"/>
    <cellStyle name="Normal 2 4 3 3 3 7" xfId="4654" xr:uid="{00000000-0005-0000-0000-000055120000}"/>
    <cellStyle name="Normal 2 4 3 3 3 7 2" xfId="14245" xr:uid="{39F5F9B0-6B92-4760-A1C5-6626E14AB7B5}"/>
    <cellStyle name="Normal 2 4 3 3 3 8" xfId="8982" xr:uid="{00000000-0005-0000-0000-00003D230000}"/>
    <cellStyle name="Normal 2 4 3 3 3 9" xfId="9870" xr:uid="{8772D9DC-DDD7-4FE0-94EB-706CCEC84C25}"/>
    <cellStyle name="Normal 2 4 3 3 4" xfId="749" xr:uid="{00000000-0005-0000-0000-000014030000}"/>
    <cellStyle name="Normal 2 4 3 3 4 2" xfId="2988" xr:uid="{00000000-0005-0000-0000-0000D30B0000}"/>
    <cellStyle name="Normal 2 4 3 3 4 2 2" xfId="7210" xr:uid="{00000000-0005-0000-0000-0000511C0000}"/>
    <cellStyle name="Normal 2 4 3 3 4 2 2 2" xfId="16801" xr:uid="{239EBB47-6560-4F29-B7F7-854B00B6B1F8}"/>
    <cellStyle name="Normal 2 4 3 3 4 2 3" xfId="12580" xr:uid="{31CBFC83-C2CC-43C4-ADFC-8EAEF0746208}"/>
    <cellStyle name="Normal 2 4 3 3 4 3" xfId="5065" xr:uid="{00000000-0005-0000-0000-0000F0130000}"/>
    <cellStyle name="Normal 2 4 3 3 4 3 2" xfId="14656" xr:uid="{5379F824-D73E-4BFE-B29F-F967790E3000}"/>
    <cellStyle name="Normal 2 4 3 3 4 4" xfId="9200" xr:uid="{00000000-0005-0000-0000-000017240000}"/>
    <cellStyle name="Normal 2 4 3 3 4 5" xfId="10342" xr:uid="{D0802CDB-AA50-4BC5-9758-0E42C9F6EEDE}"/>
    <cellStyle name="Normal 2 4 3 3 5" xfId="1171" xr:uid="{00000000-0005-0000-0000-0000BA040000}"/>
    <cellStyle name="Normal 2 4 3 3 5 2" xfId="3401" xr:uid="{00000000-0005-0000-0000-0000700D0000}"/>
    <cellStyle name="Normal 2 4 3 3 5 2 2" xfId="7623" xr:uid="{00000000-0005-0000-0000-0000EE1D0000}"/>
    <cellStyle name="Normal 2 4 3 3 5 2 2 2" xfId="17214" xr:uid="{F37D22E6-30D7-4B1F-88CC-9D1441AB4C3E}"/>
    <cellStyle name="Normal 2 4 3 3 5 2 3" xfId="12993" xr:uid="{2C0D40E1-BAB7-4F97-BD35-E676472F6CCD}"/>
    <cellStyle name="Normal 2 4 3 3 5 3" xfId="5478" xr:uid="{00000000-0005-0000-0000-00008D150000}"/>
    <cellStyle name="Normal 2 4 3 3 5 3 2" xfId="15069" xr:uid="{75BF941E-4A97-4367-8EDB-E9DA066A3488}"/>
    <cellStyle name="Normal 2 4 3 3 5 4" xfId="10764" xr:uid="{FF7D7EE6-27C3-47EA-BCB1-37047F139B7E}"/>
    <cellStyle name="Normal 2 4 3 3 6" xfId="1584" xr:uid="{00000000-0005-0000-0000-000057060000}"/>
    <cellStyle name="Normal 2 4 3 3 6 2" xfId="3814" xr:uid="{00000000-0005-0000-0000-00000D0F0000}"/>
    <cellStyle name="Normal 2 4 3 3 6 2 2" xfId="8036" xr:uid="{00000000-0005-0000-0000-00008B1F0000}"/>
    <cellStyle name="Normal 2 4 3 3 6 2 2 2" xfId="17627" xr:uid="{F5D0A16A-34B3-40E9-B924-480814883BE9}"/>
    <cellStyle name="Normal 2 4 3 3 6 2 3" xfId="13406" xr:uid="{1F4D670F-A536-42EF-8615-7A24D929071A}"/>
    <cellStyle name="Normal 2 4 3 3 6 3" xfId="5891" xr:uid="{00000000-0005-0000-0000-00002A170000}"/>
    <cellStyle name="Normal 2 4 3 3 6 3 2" xfId="15482" xr:uid="{C2E737C5-7607-4A09-ABE5-7BE07C267D9C}"/>
    <cellStyle name="Normal 2 4 3 3 6 4" xfId="11177" xr:uid="{6C3CB918-B361-4660-8CC4-7CDC5D900624}"/>
    <cellStyle name="Normal 2 4 3 3 7" xfId="1998" xr:uid="{00000000-0005-0000-0000-0000F5070000}"/>
    <cellStyle name="Normal 2 4 3 3 7 2" xfId="4227" xr:uid="{00000000-0005-0000-0000-0000AA100000}"/>
    <cellStyle name="Normal 2 4 3 3 7 2 2" xfId="8449" xr:uid="{00000000-0005-0000-0000-000028210000}"/>
    <cellStyle name="Normal 2 4 3 3 7 2 2 2" xfId="18040" xr:uid="{C7930909-D02F-4AA1-AF56-CE9AC877030D}"/>
    <cellStyle name="Normal 2 4 3 3 7 2 3" xfId="13819" xr:uid="{7546FA1C-096E-4F16-999D-85C249A205F9}"/>
    <cellStyle name="Normal 2 4 3 3 7 3" xfId="6304" xr:uid="{00000000-0005-0000-0000-0000C7180000}"/>
    <cellStyle name="Normal 2 4 3 3 7 3 2" xfId="15895" xr:uid="{2D8D9E62-D799-4C83-B91E-1AE9CC04A5AF}"/>
    <cellStyle name="Normal 2 4 3 3 7 4" xfId="11590" xr:uid="{2F88B3E9-FD7D-4F5B-9688-6EE359C374E9}"/>
    <cellStyle name="Normal 2 4 3 3 8" xfId="2434" xr:uid="{00000000-0005-0000-0000-0000A9090000}"/>
    <cellStyle name="Normal 2 4 3 3 8 2" xfId="6717" xr:uid="{00000000-0005-0000-0000-0000641A0000}"/>
    <cellStyle name="Normal 2 4 3 3 8 2 2" xfId="16308" xr:uid="{0CB4E2A9-479F-4E64-892C-E87935ADD248}"/>
    <cellStyle name="Normal 2 4 3 3 8 3" xfId="12026" xr:uid="{4AED1567-9B41-4270-859B-044E381DFE2F}"/>
    <cellStyle name="Normal 2 4 3 3 9" xfId="4651" xr:uid="{00000000-0005-0000-0000-000052120000}"/>
    <cellStyle name="Normal 2 4 3 3 9 2" xfId="14242" xr:uid="{BAAC1EED-6D25-43D7-AC1E-54EEAEE33259}"/>
    <cellStyle name="Normal 2 4 3 4" xfId="748" xr:uid="{00000000-0005-0000-0000-000013030000}"/>
    <cellStyle name="Normal 2 4 3 4 2" xfId="2987" xr:uid="{00000000-0005-0000-0000-0000D20B0000}"/>
    <cellStyle name="Normal 2 4 3 4 2 2" xfId="7209" xr:uid="{00000000-0005-0000-0000-0000501C0000}"/>
    <cellStyle name="Normal 2 4 3 4 2 2 2" xfId="16800" xr:uid="{0DCE5C3B-2C08-4018-8269-80E660D548C5}"/>
    <cellStyle name="Normal 2 4 3 4 2 3" xfId="12579" xr:uid="{9D6E3608-29E0-439D-B8F7-6B007F7EC7D8}"/>
    <cellStyle name="Normal 2 4 3 4 3" xfId="5064" xr:uid="{00000000-0005-0000-0000-0000EF130000}"/>
    <cellStyle name="Normal 2 4 3 4 3 2" xfId="14655" xr:uid="{8F08360F-9D1B-4A6C-B59D-A47A1B861675}"/>
    <cellStyle name="Normal 2 4 3 4 4" xfId="9566" xr:uid="{00000000-0005-0000-0000-000085250000}"/>
    <cellStyle name="Normal 2 4 3 4 5" xfId="10341" xr:uid="{33982ADD-B0DA-45EF-AE77-6CCA17D03359}"/>
    <cellStyle name="Normal 2 4 3 5" xfId="1170" xr:uid="{00000000-0005-0000-0000-0000B9040000}"/>
    <cellStyle name="Normal 2 4 3 5 2" xfId="3400" xr:uid="{00000000-0005-0000-0000-00006F0D0000}"/>
    <cellStyle name="Normal 2 4 3 5 2 2" xfId="7622" xr:uid="{00000000-0005-0000-0000-0000ED1D0000}"/>
    <cellStyle name="Normal 2 4 3 5 2 2 2" xfId="17213" xr:uid="{341C8996-3706-4D4C-9FEC-F865E6677949}"/>
    <cellStyle name="Normal 2 4 3 5 2 3" xfId="12992" xr:uid="{977CBBD5-D51C-4E06-945B-866151B20CAA}"/>
    <cellStyle name="Normal 2 4 3 5 3" xfId="5477" xr:uid="{00000000-0005-0000-0000-00008C150000}"/>
    <cellStyle name="Normal 2 4 3 5 3 2" xfId="15068" xr:uid="{1BED1AAA-F6EE-4EB3-8A6C-9A56DF35F8C9}"/>
    <cellStyle name="Normal 2 4 3 5 4" xfId="10763" xr:uid="{F3C23BC3-BDA2-4BCE-B884-F4954644E9B2}"/>
    <cellStyle name="Normal 2 4 3 6" xfId="1583" xr:uid="{00000000-0005-0000-0000-000056060000}"/>
    <cellStyle name="Normal 2 4 3 6 2" xfId="3813" xr:uid="{00000000-0005-0000-0000-00000C0F0000}"/>
    <cellStyle name="Normal 2 4 3 6 2 2" xfId="8035" xr:uid="{00000000-0005-0000-0000-00008A1F0000}"/>
    <cellStyle name="Normal 2 4 3 6 2 2 2" xfId="17626" xr:uid="{B1F97BB9-8E52-442A-920B-3F1D04E38F1F}"/>
    <cellStyle name="Normal 2 4 3 6 2 3" xfId="13405" xr:uid="{BC546BCF-35C3-459B-8C59-7F0A621CF2D1}"/>
    <cellStyle name="Normal 2 4 3 6 3" xfId="5890" xr:uid="{00000000-0005-0000-0000-000029170000}"/>
    <cellStyle name="Normal 2 4 3 6 3 2" xfId="15481" xr:uid="{2409BAE4-2490-4AB1-BFF1-99895428DA9C}"/>
    <cellStyle name="Normal 2 4 3 6 4" xfId="11176" xr:uid="{79CBDAAC-145D-4A02-8E28-6192F558B2C7}"/>
    <cellStyle name="Normal 2 4 3 7" xfId="1997" xr:uid="{00000000-0005-0000-0000-0000F4070000}"/>
    <cellStyle name="Normal 2 4 3 7 2" xfId="4226" xr:uid="{00000000-0005-0000-0000-0000A9100000}"/>
    <cellStyle name="Normal 2 4 3 7 2 2" xfId="8448" xr:uid="{00000000-0005-0000-0000-000027210000}"/>
    <cellStyle name="Normal 2 4 3 7 2 2 2" xfId="18039" xr:uid="{8EB7D08E-5F37-4A60-AB0B-DE8E891130F4}"/>
    <cellStyle name="Normal 2 4 3 7 2 3" xfId="13818" xr:uid="{6DD48F42-BF6D-4382-A89B-694B38671080}"/>
    <cellStyle name="Normal 2 4 3 7 3" xfId="6303" xr:uid="{00000000-0005-0000-0000-0000C6180000}"/>
    <cellStyle name="Normal 2 4 3 7 3 2" xfId="15894" xr:uid="{34B2AA23-61B1-4C87-9D27-3136C5B5FF09}"/>
    <cellStyle name="Normal 2 4 3 7 4" xfId="11589" xr:uid="{7395730B-BB98-4A8C-A444-6A759D4B11F1}"/>
    <cellStyle name="Normal 2 4 3 8" xfId="2433" xr:uid="{00000000-0005-0000-0000-0000A8090000}"/>
    <cellStyle name="Normal 2 4 3 8 2" xfId="6716" xr:uid="{00000000-0005-0000-0000-0000631A0000}"/>
    <cellStyle name="Normal 2 4 3 8 2 2" xfId="16307" xr:uid="{440C055B-3339-4F15-8ADD-80DCA02771BD}"/>
    <cellStyle name="Normal 2 4 3 8 3" xfId="12025" xr:uid="{62BCFD84-6325-4B4B-BEA1-8AFE5F45301C}"/>
    <cellStyle name="Normal 2 4 3 9" xfId="4650" xr:uid="{00000000-0005-0000-0000-000051120000}"/>
    <cellStyle name="Normal 2 4 3 9 2" xfId="14241" xr:uid="{92EAC5FE-125D-4C20-948F-13AE489FB9C3}"/>
    <cellStyle name="Normal 2 4 4" xfId="266" xr:uid="{00000000-0005-0000-0000-00002E010000}"/>
    <cellStyle name="Normal 2 4 4 2" xfId="9871" xr:uid="{2EA50ECB-30BD-4DE5-895D-36B638F0EC7C}"/>
    <cellStyle name="Normal 2 4 5" xfId="267" xr:uid="{00000000-0005-0000-0000-00002F010000}"/>
    <cellStyle name="Normal 2 4 5 10" xfId="4655" xr:uid="{00000000-0005-0000-0000-000056120000}"/>
    <cellStyle name="Normal 2 4 5 10 2" xfId="14246" xr:uid="{44026A42-8A0F-436D-8DF1-88C79D0B882E}"/>
    <cellStyle name="Normal 2 4 5 11" xfId="8741" xr:uid="{00000000-0005-0000-0000-00004C220000}"/>
    <cellStyle name="Normal 2 4 5 12" xfId="9872" xr:uid="{761377DC-E43E-4A89-BD25-063588AC3F7D}"/>
    <cellStyle name="Normal 2 4 5 2" xfId="268" xr:uid="{00000000-0005-0000-0000-000030010000}"/>
    <cellStyle name="Normal 2 4 5 2 10" xfId="8776" xr:uid="{00000000-0005-0000-0000-00006F220000}"/>
    <cellStyle name="Normal 2 4 5 2 11" xfId="9873" xr:uid="{60BA9021-C381-40BC-93CE-7F7C4DDD47EF}"/>
    <cellStyle name="Normal 2 4 5 2 2" xfId="269" xr:uid="{00000000-0005-0000-0000-000031010000}"/>
    <cellStyle name="Normal 2 4 5 2 2 10" xfId="9874" xr:uid="{D8F74ABE-F1B3-4F43-872D-17BB8BBEE6AD}"/>
    <cellStyle name="Normal 2 4 5 2 2 2" xfId="270" xr:uid="{00000000-0005-0000-0000-000032010000}"/>
    <cellStyle name="Normal 2 4 5 2 2 2 2" xfId="756" xr:uid="{00000000-0005-0000-0000-00001B030000}"/>
    <cellStyle name="Normal 2 4 5 2 2 2 2 2" xfId="2995" xr:uid="{00000000-0005-0000-0000-0000DA0B0000}"/>
    <cellStyle name="Normal 2 4 5 2 2 2 2 2 2" xfId="7217" xr:uid="{00000000-0005-0000-0000-0000581C0000}"/>
    <cellStyle name="Normal 2 4 5 2 2 2 2 2 2 2" xfId="16808" xr:uid="{9D810B72-373E-46A1-AD00-C6EA0F344DE7}"/>
    <cellStyle name="Normal 2 4 5 2 2 2 2 2 3" xfId="12587" xr:uid="{CE2F0EAA-616D-4AAA-8AF7-80A4AA29BDF3}"/>
    <cellStyle name="Normal 2 4 5 2 2 2 2 3" xfId="5072" xr:uid="{00000000-0005-0000-0000-0000F7130000}"/>
    <cellStyle name="Normal 2 4 5 2 2 2 2 3 2" xfId="14663" xr:uid="{6FFBBC3F-87E6-4745-BF84-13E9FB1C6532}"/>
    <cellStyle name="Normal 2 4 5 2 2 2 2 4" xfId="9511" xr:uid="{00000000-0005-0000-0000-00004E250000}"/>
    <cellStyle name="Normal 2 4 5 2 2 2 2 5" xfId="10349" xr:uid="{8DC78F2D-66FF-454F-8DEA-47F6B62CE3AC}"/>
    <cellStyle name="Normal 2 4 5 2 2 2 3" xfId="1178" xr:uid="{00000000-0005-0000-0000-0000C1040000}"/>
    <cellStyle name="Normal 2 4 5 2 2 2 3 2" xfId="3408" xr:uid="{00000000-0005-0000-0000-0000770D0000}"/>
    <cellStyle name="Normal 2 4 5 2 2 2 3 2 2" xfId="7630" xr:uid="{00000000-0005-0000-0000-0000F51D0000}"/>
    <cellStyle name="Normal 2 4 5 2 2 2 3 2 2 2" xfId="17221" xr:uid="{3C6A6A1B-FBEB-42F4-9D19-D52A8C8E6B45}"/>
    <cellStyle name="Normal 2 4 5 2 2 2 3 2 3" xfId="13000" xr:uid="{2FA1DEBB-4714-4C1A-8560-36382BB2E862}"/>
    <cellStyle name="Normal 2 4 5 2 2 2 3 3" xfId="5485" xr:uid="{00000000-0005-0000-0000-000094150000}"/>
    <cellStyle name="Normal 2 4 5 2 2 2 3 3 2" xfId="15076" xr:uid="{0E43F410-FCFF-4AB1-B882-72A60CFA422B}"/>
    <cellStyle name="Normal 2 4 5 2 2 2 3 4" xfId="10771" xr:uid="{1B99E833-16EF-4419-A283-B95120767325}"/>
    <cellStyle name="Normal 2 4 5 2 2 2 4" xfId="1591" xr:uid="{00000000-0005-0000-0000-00005E060000}"/>
    <cellStyle name="Normal 2 4 5 2 2 2 4 2" xfId="3821" xr:uid="{00000000-0005-0000-0000-0000140F0000}"/>
    <cellStyle name="Normal 2 4 5 2 2 2 4 2 2" xfId="8043" xr:uid="{00000000-0005-0000-0000-0000921F0000}"/>
    <cellStyle name="Normal 2 4 5 2 2 2 4 2 2 2" xfId="17634" xr:uid="{7BB97A5F-499A-43F0-8711-5E9D7F8139EB}"/>
    <cellStyle name="Normal 2 4 5 2 2 2 4 2 3" xfId="13413" xr:uid="{6A95E09E-34C4-468A-940A-D4B9F17EC1BC}"/>
    <cellStyle name="Normal 2 4 5 2 2 2 4 3" xfId="5898" xr:uid="{00000000-0005-0000-0000-000031170000}"/>
    <cellStyle name="Normal 2 4 5 2 2 2 4 3 2" xfId="15489" xr:uid="{9F9D7822-BFCA-431C-9708-DBC49DCD1EC0}"/>
    <cellStyle name="Normal 2 4 5 2 2 2 4 4" xfId="11184" xr:uid="{9BDD9442-8625-46AF-A5EE-D5C4D186FCE8}"/>
    <cellStyle name="Normal 2 4 5 2 2 2 5" xfId="2005" xr:uid="{00000000-0005-0000-0000-0000FC070000}"/>
    <cellStyle name="Normal 2 4 5 2 2 2 5 2" xfId="4234" xr:uid="{00000000-0005-0000-0000-0000B1100000}"/>
    <cellStyle name="Normal 2 4 5 2 2 2 5 2 2" xfId="8456" xr:uid="{00000000-0005-0000-0000-00002F210000}"/>
    <cellStyle name="Normal 2 4 5 2 2 2 5 2 2 2" xfId="18047" xr:uid="{35DED7E1-2197-44A6-8DFC-02F94B2EAD0A}"/>
    <cellStyle name="Normal 2 4 5 2 2 2 5 2 3" xfId="13826" xr:uid="{31499C4A-4152-419D-9FCF-67B245752B9E}"/>
    <cellStyle name="Normal 2 4 5 2 2 2 5 3" xfId="6311" xr:uid="{00000000-0005-0000-0000-0000CE180000}"/>
    <cellStyle name="Normal 2 4 5 2 2 2 5 3 2" xfId="15902" xr:uid="{4A67E154-32BD-4089-AB4C-75CA43C7F1E9}"/>
    <cellStyle name="Normal 2 4 5 2 2 2 5 4" xfId="11597" xr:uid="{F09C8273-FE72-4FE7-9489-496063F8B34F}"/>
    <cellStyle name="Normal 2 4 5 2 2 2 6" xfId="2441" xr:uid="{00000000-0005-0000-0000-0000B0090000}"/>
    <cellStyle name="Normal 2 4 5 2 2 2 6 2" xfId="6724" xr:uid="{00000000-0005-0000-0000-00006B1A0000}"/>
    <cellStyle name="Normal 2 4 5 2 2 2 6 2 2" xfId="16315" xr:uid="{0B106979-1F15-476F-B792-6374E08C853B}"/>
    <cellStyle name="Normal 2 4 5 2 2 2 6 3" xfId="12033" xr:uid="{55673716-506A-4165-A837-3EAF83F9D936}"/>
    <cellStyle name="Normal 2 4 5 2 2 2 7" xfId="4658" xr:uid="{00000000-0005-0000-0000-000059120000}"/>
    <cellStyle name="Normal 2 4 5 2 2 2 7 2" xfId="14249" xr:uid="{476C85A8-9F4D-4EF2-84B1-A748008163F0}"/>
    <cellStyle name="Normal 2 4 5 2 2 2 8" xfId="9086" xr:uid="{00000000-0005-0000-0000-0000A5230000}"/>
    <cellStyle name="Normal 2 4 5 2 2 2 9" xfId="9875" xr:uid="{9FEF11F8-E20C-482C-8DB9-1928076F558B}"/>
    <cellStyle name="Normal 2 4 5 2 2 3" xfId="755" xr:uid="{00000000-0005-0000-0000-00001A030000}"/>
    <cellStyle name="Normal 2 4 5 2 2 3 2" xfId="2994" xr:uid="{00000000-0005-0000-0000-0000D90B0000}"/>
    <cellStyle name="Normal 2 4 5 2 2 3 2 2" xfId="7216" xr:uid="{00000000-0005-0000-0000-0000571C0000}"/>
    <cellStyle name="Normal 2 4 5 2 2 3 2 2 2" xfId="16807" xr:uid="{A9287D65-0087-48D2-B477-5A477A46E992}"/>
    <cellStyle name="Normal 2 4 5 2 2 3 2 3" xfId="12586" xr:uid="{72A3CF8B-CD1C-4E18-B0C3-859DCCE1607B}"/>
    <cellStyle name="Normal 2 4 5 2 2 3 3" xfId="5071" xr:uid="{00000000-0005-0000-0000-0000F6130000}"/>
    <cellStyle name="Normal 2 4 5 2 2 3 3 2" xfId="14662" xr:uid="{0BDF52B7-B9D1-4E5A-A7F2-9B8E31F6D2CC}"/>
    <cellStyle name="Normal 2 4 5 2 2 3 4" xfId="9304" xr:uid="{00000000-0005-0000-0000-00007F240000}"/>
    <cellStyle name="Normal 2 4 5 2 2 3 5" xfId="10348" xr:uid="{AEBD1E90-F322-42A3-B858-8BD67B6D337B}"/>
    <cellStyle name="Normal 2 4 5 2 2 4" xfId="1177" xr:uid="{00000000-0005-0000-0000-0000C0040000}"/>
    <cellStyle name="Normal 2 4 5 2 2 4 2" xfId="3407" xr:uid="{00000000-0005-0000-0000-0000760D0000}"/>
    <cellStyle name="Normal 2 4 5 2 2 4 2 2" xfId="7629" xr:uid="{00000000-0005-0000-0000-0000F41D0000}"/>
    <cellStyle name="Normal 2 4 5 2 2 4 2 2 2" xfId="17220" xr:uid="{50EB225B-E1EE-446B-82E9-8CF30B06627F}"/>
    <cellStyle name="Normal 2 4 5 2 2 4 2 3" xfId="12999" xr:uid="{7420DFE3-13DF-4B66-90F3-C967B962103F}"/>
    <cellStyle name="Normal 2 4 5 2 2 4 3" xfId="5484" xr:uid="{00000000-0005-0000-0000-000093150000}"/>
    <cellStyle name="Normal 2 4 5 2 2 4 3 2" xfId="15075" xr:uid="{6956C404-9017-48EA-84C6-848F2821497F}"/>
    <cellStyle name="Normal 2 4 5 2 2 4 4" xfId="10770" xr:uid="{9B5A9212-5F2C-4C74-B71F-506D7AD38372}"/>
    <cellStyle name="Normal 2 4 5 2 2 5" xfId="1590" xr:uid="{00000000-0005-0000-0000-00005D060000}"/>
    <cellStyle name="Normal 2 4 5 2 2 5 2" xfId="3820" xr:uid="{00000000-0005-0000-0000-0000130F0000}"/>
    <cellStyle name="Normal 2 4 5 2 2 5 2 2" xfId="8042" xr:uid="{00000000-0005-0000-0000-0000911F0000}"/>
    <cellStyle name="Normal 2 4 5 2 2 5 2 2 2" xfId="17633" xr:uid="{90134564-8381-4A5A-87BC-68081CA41F2A}"/>
    <cellStyle name="Normal 2 4 5 2 2 5 2 3" xfId="13412" xr:uid="{F6211EDA-814F-4458-B8F4-6E302F8F2AC7}"/>
    <cellStyle name="Normal 2 4 5 2 2 5 3" xfId="5897" xr:uid="{00000000-0005-0000-0000-000030170000}"/>
    <cellStyle name="Normal 2 4 5 2 2 5 3 2" xfId="15488" xr:uid="{15017D19-8162-48CE-A299-46DBC268CE0E}"/>
    <cellStyle name="Normal 2 4 5 2 2 5 4" xfId="11183" xr:uid="{1E68F1ED-66D7-4E2F-868F-230D0C8A755B}"/>
    <cellStyle name="Normal 2 4 5 2 2 6" xfId="2004" xr:uid="{00000000-0005-0000-0000-0000FB070000}"/>
    <cellStyle name="Normal 2 4 5 2 2 6 2" xfId="4233" xr:uid="{00000000-0005-0000-0000-0000B0100000}"/>
    <cellStyle name="Normal 2 4 5 2 2 6 2 2" xfId="8455" xr:uid="{00000000-0005-0000-0000-00002E210000}"/>
    <cellStyle name="Normal 2 4 5 2 2 6 2 2 2" xfId="18046" xr:uid="{57234611-5AF8-4530-9175-AF57DA92F99A}"/>
    <cellStyle name="Normal 2 4 5 2 2 6 2 3" xfId="13825" xr:uid="{601A0C17-6088-4DD8-9955-F8FBAFF2E398}"/>
    <cellStyle name="Normal 2 4 5 2 2 6 3" xfId="6310" xr:uid="{00000000-0005-0000-0000-0000CD180000}"/>
    <cellStyle name="Normal 2 4 5 2 2 6 3 2" xfId="15901" xr:uid="{2CF2140B-0C3E-4811-8A9C-7F1091B71337}"/>
    <cellStyle name="Normal 2 4 5 2 2 6 4" xfId="11596" xr:uid="{2B7A164A-4DDD-4DDC-BD6C-BB2C589334BA}"/>
    <cellStyle name="Normal 2 4 5 2 2 7" xfId="2440" xr:uid="{00000000-0005-0000-0000-0000AF090000}"/>
    <cellStyle name="Normal 2 4 5 2 2 7 2" xfId="6723" xr:uid="{00000000-0005-0000-0000-00006A1A0000}"/>
    <cellStyle name="Normal 2 4 5 2 2 7 2 2" xfId="16314" xr:uid="{6065A951-B1FD-4FE7-8968-0585A6174FF7}"/>
    <cellStyle name="Normal 2 4 5 2 2 7 3" xfId="12032" xr:uid="{EBF9AD4E-F833-4297-9783-64022499382D}"/>
    <cellStyle name="Normal 2 4 5 2 2 8" xfId="4657" xr:uid="{00000000-0005-0000-0000-000058120000}"/>
    <cellStyle name="Normal 2 4 5 2 2 8 2" xfId="14248" xr:uid="{1059C291-3635-4B96-95F3-26B818580D74}"/>
    <cellStyle name="Normal 2 4 5 2 2 9" xfId="8879" xr:uid="{00000000-0005-0000-0000-0000D6220000}"/>
    <cellStyle name="Normal 2 4 5 2 3" xfId="271" xr:uid="{00000000-0005-0000-0000-000033010000}"/>
    <cellStyle name="Normal 2 4 5 2 3 2" xfId="757" xr:uid="{00000000-0005-0000-0000-00001C030000}"/>
    <cellStyle name="Normal 2 4 5 2 3 2 2" xfId="2996" xr:uid="{00000000-0005-0000-0000-0000DB0B0000}"/>
    <cellStyle name="Normal 2 4 5 2 3 2 2 2" xfId="7218" xr:uid="{00000000-0005-0000-0000-0000591C0000}"/>
    <cellStyle name="Normal 2 4 5 2 3 2 2 2 2" xfId="16809" xr:uid="{F8D2CE45-3D1C-45FB-B734-55EB14459794}"/>
    <cellStyle name="Normal 2 4 5 2 3 2 2 3" xfId="12588" xr:uid="{337CC509-7769-4A80-B38E-68C773CAC335}"/>
    <cellStyle name="Normal 2 4 5 2 3 2 3" xfId="5073" xr:uid="{00000000-0005-0000-0000-0000F8130000}"/>
    <cellStyle name="Normal 2 4 5 2 3 2 3 2" xfId="14664" xr:uid="{B9F4887F-1DC6-4DCD-ABA3-F6D1FAC193D7}"/>
    <cellStyle name="Normal 2 4 5 2 3 2 4" xfId="9408" xr:uid="{00000000-0005-0000-0000-0000E7240000}"/>
    <cellStyle name="Normal 2 4 5 2 3 2 5" xfId="10350" xr:uid="{9C58D39E-BD0C-4058-8966-332CD7E80DD9}"/>
    <cellStyle name="Normal 2 4 5 2 3 3" xfId="1179" xr:uid="{00000000-0005-0000-0000-0000C2040000}"/>
    <cellStyle name="Normal 2 4 5 2 3 3 2" xfId="3409" xr:uid="{00000000-0005-0000-0000-0000780D0000}"/>
    <cellStyle name="Normal 2 4 5 2 3 3 2 2" xfId="7631" xr:uid="{00000000-0005-0000-0000-0000F61D0000}"/>
    <cellStyle name="Normal 2 4 5 2 3 3 2 2 2" xfId="17222" xr:uid="{A07E8EC6-33AD-41DB-870D-9F598860E0EA}"/>
    <cellStyle name="Normal 2 4 5 2 3 3 2 3" xfId="13001" xr:uid="{209A9AC7-361D-4546-9939-BB3800689F60}"/>
    <cellStyle name="Normal 2 4 5 2 3 3 3" xfId="5486" xr:uid="{00000000-0005-0000-0000-000095150000}"/>
    <cellStyle name="Normal 2 4 5 2 3 3 3 2" xfId="15077" xr:uid="{8DA21B40-0DB3-4C7B-A615-B6E5CEC1F261}"/>
    <cellStyle name="Normal 2 4 5 2 3 3 4" xfId="10772" xr:uid="{0A2400F5-7787-4E6E-AB76-CD33305BE553}"/>
    <cellStyle name="Normal 2 4 5 2 3 4" xfId="1592" xr:uid="{00000000-0005-0000-0000-00005F060000}"/>
    <cellStyle name="Normal 2 4 5 2 3 4 2" xfId="3822" xr:uid="{00000000-0005-0000-0000-0000150F0000}"/>
    <cellStyle name="Normal 2 4 5 2 3 4 2 2" xfId="8044" xr:uid="{00000000-0005-0000-0000-0000931F0000}"/>
    <cellStyle name="Normal 2 4 5 2 3 4 2 2 2" xfId="17635" xr:uid="{B9FC376E-82E4-42EE-8D1F-F2E0317C5006}"/>
    <cellStyle name="Normal 2 4 5 2 3 4 2 3" xfId="13414" xr:uid="{E54EA107-6490-4F55-BF5E-E27E109B0F78}"/>
    <cellStyle name="Normal 2 4 5 2 3 4 3" xfId="5899" xr:uid="{00000000-0005-0000-0000-000032170000}"/>
    <cellStyle name="Normal 2 4 5 2 3 4 3 2" xfId="15490" xr:uid="{C5AC344D-1C25-4BEE-BB58-728404CFBBA0}"/>
    <cellStyle name="Normal 2 4 5 2 3 4 4" xfId="11185" xr:uid="{7E55A83B-96F0-4794-9047-E0DDECA3820E}"/>
    <cellStyle name="Normal 2 4 5 2 3 5" xfId="2006" xr:uid="{00000000-0005-0000-0000-0000FD070000}"/>
    <cellStyle name="Normal 2 4 5 2 3 5 2" xfId="4235" xr:uid="{00000000-0005-0000-0000-0000B2100000}"/>
    <cellStyle name="Normal 2 4 5 2 3 5 2 2" xfId="8457" xr:uid="{00000000-0005-0000-0000-000030210000}"/>
    <cellStyle name="Normal 2 4 5 2 3 5 2 2 2" xfId="18048" xr:uid="{3799B81A-98CA-4831-B808-8B271303FEF4}"/>
    <cellStyle name="Normal 2 4 5 2 3 5 2 3" xfId="13827" xr:uid="{B7435F4E-2402-4ECC-91D4-13C1BD67B914}"/>
    <cellStyle name="Normal 2 4 5 2 3 5 3" xfId="6312" xr:uid="{00000000-0005-0000-0000-0000CF180000}"/>
    <cellStyle name="Normal 2 4 5 2 3 5 3 2" xfId="15903" xr:uid="{88E42B77-BC84-4210-BA8B-93C3A3AAF9D6}"/>
    <cellStyle name="Normal 2 4 5 2 3 5 4" xfId="11598" xr:uid="{E7CF395A-3A3E-4AEC-BD9D-A6379CEB5885}"/>
    <cellStyle name="Normal 2 4 5 2 3 6" xfId="2442" xr:uid="{00000000-0005-0000-0000-0000B1090000}"/>
    <cellStyle name="Normal 2 4 5 2 3 6 2" xfId="6725" xr:uid="{00000000-0005-0000-0000-00006C1A0000}"/>
    <cellStyle name="Normal 2 4 5 2 3 6 2 2" xfId="16316" xr:uid="{8D09F7E4-B8FB-414D-A1A6-18EC83D2AF70}"/>
    <cellStyle name="Normal 2 4 5 2 3 6 3" xfId="12034" xr:uid="{E4425F8F-3446-4F4C-993A-34FA330AA592}"/>
    <cellStyle name="Normal 2 4 5 2 3 7" xfId="4659" xr:uid="{00000000-0005-0000-0000-00005A120000}"/>
    <cellStyle name="Normal 2 4 5 2 3 7 2" xfId="14250" xr:uid="{F05288D3-1D40-44E5-89EE-B59B57630369}"/>
    <cellStyle name="Normal 2 4 5 2 3 8" xfId="8983" xr:uid="{00000000-0005-0000-0000-00003E230000}"/>
    <cellStyle name="Normal 2 4 5 2 3 9" xfId="9876" xr:uid="{07C4BE01-C5CE-40C7-94EF-BB272CFFCAE4}"/>
    <cellStyle name="Normal 2 4 5 2 4" xfId="754" xr:uid="{00000000-0005-0000-0000-000019030000}"/>
    <cellStyle name="Normal 2 4 5 2 4 2" xfId="2993" xr:uid="{00000000-0005-0000-0000-0000D80B0000}"/>
    <cellStyle name="Normal 2 4 5 2 4 2 2" xfId="7215" xr:uid="{00000000-0005-0000-0000-0000561C0000}"/>
    <cellStyle name="Normal 2 4 5 2 4 2 2 2" xfId="16806" xr:uid="{0B0FC012-BBBA-4FA6-982E-12D78A2E7138}"/>
    <cellStyle name="Normal 2 4 5 2 4 2 3" xfId="12585" xr:uid="{9CF97489-1221-4DFE-88EF-90151AB5504B}"/>
    <cellStyle name="Normal 2 4 5 2 4 3" xfId="5070" xr:uid="{00000000-0005-0000-0000-0000F5130000}"/>
    <cellStyle name="Normal 2 4 5 2 4 3 2" xfId="14661" xr:uid="{4086DE25-3318-4B86-8B54-F2481E981970}"/>
    <cellStyle name="Normal 2 4 5 2 4 4" xfId="9201" xr:uid="{00000000-0005-0000-0000-000018240000}"/>
    <cellStyle name="Normal 2 4 5 2 4 5" xfId="10347" xr:uid="{8A4A057C-8FC7-4EEA-8A35-0492C3115798}"/>
    <cellStyle name="Normal 2 4 5 2 5" xfId="1176" xr:uid="{00000000-0005-0000-0000-0000BF040000}"/>
    <cellStyle name="Normal 2 4 5 2 5 2" xfId="3406" xr:uid="{00000000-0005-0000-0000-0000750D0000}"/>
    <cellStyle name="Normal 2 4 5 2 5 2 2" xfId="7628" xr:uid="{00000000-0005-0000-0000-0000F31D0000}"/>
    <cellStyle name="Normal 2 4 5 2 5 2 2 2" xfId="17219" xr:uid="{40889451-FAD3-412A-9DFE-13AC01E7AFBC}"/>
    <cellStyle name="Normal 2 4 5 2 5 2 3" xfId="12998" xr:uid="{86314BDC-4D37-49FC-9D45-DFD7045C5E1E}"/>
    <cellStyle name="Normal 2 4 5 2 5 3" xfId="5483" xr:uid="{00000000-0005-0000-0000-000092150000}"/>
    <cellStyle name="Normal 2 4 5 2 5 3 2" xfId="15074" xr:uid="{120D6838-CCBF-46E4-9426-52493007D68A}"/>
    <cellStyle name="Normal 2 4 5 2 5 4" xfId="10769" xr:uid="{32CB3293-1087-4FA1-90A8-022C881BAAE0}"/>
    <cellStyle name="Normal 2 4 5 2 6" xfId="1589" xr:uid="{00000000-0005-0000-0000-00005C060000}"/>
    <cellStyle name="Normal 2 4 5 2 6 2" xfId="3819" xr:uid="{00000000-0005-0000-0000-0000120F0000}"/>
    <cellStyle name="Normal 2 4 5 2 6 2 2" xfId="8041" xr:uid="{00000000-0005-0000-0000-0000901F0000}"/>
    <cellStyle name="Normal 2 4 5 2 6 2 2 2" xfId="17632" xr:uid="{48705394-199D-429E-83E4-7E0DE8C6F87E}"/>
    <cellStyle name="Normal 2 4 5 2 6 2 3" xfId="13411" xr:uid="{7563F799-2A1D-45B3-BE59-8686C8F9BBFF}"/>
    <cellStyle name="Normal 2 4 5 2 6 3" xfId="5896" xr:uid="{00000000-0005-0000-0000-00002F170000}"/>
    <cellStyle name="Normal 2 4 5 2 6 3 2" xfId="15487" xr:uid="{C7C356ED-939D-4544-9DEF-14EB0ECA21D3}"/>
    <cellStyle name="Normal 2 4 5 2 6 4" xfId="11182" xr:uid="{A0BB31A3-7CD4-4556-94B2-CD76936E4DEF}"/>
    <cellStyle name="Normal 2 4 5 2 7" xfId="2003" xr:uid="{00000000-0005-0000-0000-0000FA070000}"/>
    <cellStyle name="Normal 2 4 5 2 7 2" xfId="4232" xr:uid="{00000000-0005-0000-0000-0000AF100000}"/>
    <cellStyle name="Normal 2 4 5 2 7 2 2" xfId="8454" xr:uid="{00000000-0005-0000-0000-00002D210000}"/>
    <cellStyle name="Normal 2 4 5 2 7 2 2 2" xfId="18045" xr:uid="{718D9183-8B4D-4621-BFED-6B2C7E1AD307}"/>
    <cellStyle name="Normal 2 4 5 2 7 2 3" xfId="13824" xr:uid="{4CD778C5-3A56-421B-ADAC-2BF097367A76}"/>
    <cellStyle name="Normal 2 4 5 2 7 3" xfId="6309" xr:uid="{00000000-0005-0000-0000-0000CC180000}"/>
    <cellStyle name="Normal 2 4 5 2 7 3 2" xfId="15900" xr:uid="{8B662661-BB9D-4943-9A42-637D88A90726}"/>
    <cellStyle name="Normal 2 4 5 2 7 4" xfId="11595" xr:uid="{406E32BD-66A1-4675-96F3-11C9E2582084}"/>
    <cellStyle name="Normal 2 4 5 2 8" xfId="2439" xr:uid="{00000000-0005-0000-0000-0000AE090000}"/>
    <cellStyle name="Normal 2 4 5 2 8 2" xfId="6722" xr:uid="{00000000-0005-0000-0000-0000691A0000}"/>
    <cellStyle name="Normal 2 4 5 2 8 2 2" xfId="16313" xr:uid="{356A4C6A-E5A3-47FD-AF46-9131020F1CCB}"/>
    <cellStyle name="Normal 2 4 5 2 8 3" xfId="12031" xr:uid="{CBEAE04C-5E99-4343-9008-9F328D009CEB}"/>
    <cellStyle name="Normal 2 4 5 2 9" xfId="4656" xr:uid="{00000000-0005-0000-0000-000057120000}"/>
    <cellStyle name="Normal 2 4 5 2 9 2" xfId="14247" xr:uid="{FD57D056-7BC6-49C4-99C6-E051B41D8AAC}"/>
    <cellStyle name="Normal 2 4 5 3" xfId="272" xr:uid="{00000000-0005-0000-0000-000034010000}"/>
    <cellStyle name="Normal 2 4 5 3 10" xfId="9877" xr:uid="{9CE11FD7-AD64-4612-A420-CB29E56A3868}"/>
    <cellStyle name="Normal 2 4 5 3 2" xfId="273" xr:uid="{00000000-0005-0000-0000-000035010000}"/>
    <cellStyle name="Normal 2 4 5 3 2 2" xfId="759" xr:uid="{00000000-0005-0000-0000-00001E030000}"/>
    <cellStyle name="Normal 2 4 5 3 2 2 2" xfId="2998" xr:uid="{00000000-0005-0000-0000-0000DD0B0000}"/>
    <cellStyle name="Normal 2 4 5 3 2 2 2 2" xfId="7220" xr:uid="{00000000-0005-0000-0000-00005B1C0000}"/>
    <cellStyle name="Normal 2 4 5 3 2 2 2 2 2" xfId="16811" xr:uid="{17F6CFB1-62B5-4B86-BA20-69F5D32ED8DA}"/>
    <cellStyle name="Normal 2 4 5 3 2 2 2 3" xfId="12590" xr:uid="{02D075DC-641C-4CB4-92C9-801BBCC00661}"/>
    <cellStyle name="Normal 2 4 5 3 2 2 3" xfId="5075" xr:uid="{00000000-0005-0000-0000-0000FA130000}"/>
    <cellStyle name="Normal 2 4 5 3 2 2 3 2" xfId="14666" xr:uid="{C210EE71-9D3F-4EA8-8AB5-3AF24BA706E8}"/>
    <cellStyle name="Normal 2 4 5 3 2 2 4" xfId="9476" xr:uid="{00000000-0005-0000-0000-00002B250000}"/>
    <cellStyle name="Normal 2 4 5 3 2 2 5" xfId="10352" xr:uid="{D253502E-AC07-4980-B346-FB50D667B8CE}"/>
    <cellStyle name="Normal 2 4 5 3 2 3" xfId="1181" xr:uid="{00000000-0005-0000-0000-0000C4040000}"/>
    <cellStyle name="Normal 2 4 5 3 2 3 2" xfId="3411" xr:uid="{00000000-0005-0000-0000-00007A0D0000}"/>
    <cellStyle name="Normal 2 4 5 3 2 3 2 2" xfId="7633" xr:uid="{00000000-0005-0000-0000-0000F81D0000}"/>
    <cellStyle name="Normal 2 4 5 3 2 3 2 2 2" xfId="17224" xr:uid="{89137991-4C54-43B8-BB8D-20C4E307FD24}"/>
    <cellStyle name="Normal 2 4 5 3 2 3 2 3" xfId="13003" xr:uid="{42D680B6-5471-4CC6-910C-66E466E12080}"/>
    <cellStyle name="Normal 2 4 5 3 2 3 3" xfId="5488" xr:uid="{00000000-0005-0000-0000-000097150000}"/>
    <cellStyle name="Normal 2 4 5 3 2 3 3 2" xfId="15079" xr:uid="{D5DF760F-92B8-4E9A-9D3F-9C0206090A09}"/>
    <cellStyle name="Normal 2 4 5 3 2 3 4" xfId="10774" xr:uid="{CDAD3484-75DB-40BE-86CC-96AC91CA88B4}"/>
    <cellStyle name="Normal 2 4 5 3 2 4" xfId="1594" xr:uid="{00000000-0005-0000-0000-000061060000}"/>
    <cellStyle name="Normal 2 4 5 3 2 4 2" xfId="3824" xr:uid="{00000000-0005-0000-0000-0000170F0000}"/>
    <cellStyle name="Normal 2 4 5 3 2 4 2 2" xfId="8046" xr:uid="{00000000-0005-0000-0000-0000951F0000}"/>
    <cellStyle name="Normal 2 4 5 3 2 4 2 2 2" xfId="17637" xr:uid="{CC2904A7-A12A-424D-A531-360E872A2C06}"/>
    <cellStyle name="Normal 2 4 5 3 2 4 2 3" xfId="13416" xr:uid="{E72C03A7-0B66-48C3-9CBA-BE50A29F7757}"/>
    <cellStyle name="Normal 2 4 5 3 2 4 3" xfId="5901" xr:uid="{00000000-0005-0000-0000-000034170000}"/>
    <cellStyle name="Normal 2 4 5 3 2 4 3 2" xfId="15492" xr:uid="{F6DB4BA3-8C19-4CC0-8BFF-0844E3EE953F}"/>
    <cellStyle name="Normal 2 4 5 3 2 4 4" xfId="11187" xr:uid="{798F5CE1-1548-4008-8B0F-FED66BC7142F}"/>
    <cellStyle name="Normal 2 4 5 3 2 5" xfId="2008" xr:uid="{00000000-0005-0000-0000-0000FF070000}"/>
    <cellStyle name="Normal 2 4 5 3 2 5 2" xfId="4237" xr:uid="{00000000-0005-0000-0000-0000B4100000}"/>
    <cellStyle name="Normal 2 4 5 3 2 5 2 2" xfId="8459" xr:uid="{00000000-0005-0000-0000-000032210000}"/>
    <cellStyle name="Normal 2 4 5 3 2 5 2 2 2" xfId="18050" xr:uid="{AF62300C-EBC6-4F32-A19B-849C81B2D662}"/>
    <cellStyle name="Normal 2 4 5 3 2 5 2 3" xfId="13829" xr:uid="{3D506BBE-1143-49B2-9191-78A1A5445BC2}"/>
    <cellStyle name="Normal 2 4 5 3 2 5 3" xfId="6314" xr:uid="{00000000-0005-0000-0000-0000D1180000}"/>
    <cellStyle name="Normal 2 4 5 3 2 5 3 2" xfId="15905" xr:uid="{7DC96007-40B9-4738-AA82-5D63A1605630}"/>
    <cellStyle name="Normal 2 4 5 3 2 5 4" xfId="11600" xr:uid="{6E73C918-F553-4B9E-BCC6-E9EA881D0917}"/>
    <cellStyle name="Normal 2 4 5 3 2 6" xfId="2444" xr:uid="{00000000-0005-0000-0000-0000B3090000}"/>
    <cellStyle name="Normal 2 4 5 3 2 6 2" xfId="6727" xr:uid="{00000000-0005-0000-0000-00006E1A0000}"/>
    <cellStyle name="Normal 2 4 5 3 2 6 2 2" xfId="16318" xr:uid="{1C7D29EC-9B4F-4668-9F2C-D43EC04B7722}"/>
    <cellStyle name="Normal 2 4 5 3 2 6 3" xfId="12036" xr:uid="{2B987479-1ACC-41F7-B596-EEBA031399C1}"/>
    <cellStyle name="Normal 2 4 5 3 2 7" xfId="4661" xr:uid="{00000000-0005-0000-0000-00005C120000}"/>
    <cellStyle name="Normal 2 4 5 3 2 7 2" xfId="14252" xr:uid="{FB9C3CC5-0E18-4B09-BA74-24E5C2A9F791}"/>
    <cellStyle name="Normal 2 4 5 3 2 8" xfId="9051" xr:uid="{00000000-0005-0000-0000-000082230000}"/>
    <cellStyle name="Normal 2 4 5 3 2 9" xfId="9878" xr:uid="{173E1DBC-7FED-42BA-996F-DCC34178C687}"/>
    <cellStyle name="Normal 2 4 5 3 3" xfId="758" xr:uid="{00000000-0005-0000-0000-00001D030000}"/>
    <cellStyle name="Normal 2 4 5 3 3 2" xfId="2997" xr:uid="{00000000-0005-0000-0000-0000DC0B0000}"/>
    <cellStyle name="Normal 2 4 5 3 3 2 2" xfId="7219" xr:uid="{00000000-0005-0000-0000-00005A1C0000}"/>
    <cellStyle name="Normal 2 4 5 3 3 2 2 2" xfId="16810" xr:uid="{5057202D-9642-4EC2-AF9C-66A55750F6F1}"/>
    <cellStyle name="Normal 2 4 5 3 3 2 3" xfId="12589" xr:uid="{EBA11FAC-3487-42A4-BB7D-EC7CBD02FF20}"/>
    <cellStyle name="Normal 2 4 5 3 3 3" xfId="5074" xr:uid="{00000000-0005-0000-0000-0000F9130000}"/>
    <cellStyle name="Normal 2 4 5 3 3 3 2" xfId="14665" xr:uid="{E3F042EC-728B-4B38-A7FB-D9ADEFCCF37E}"/>
    <cellStyle name="Normal 2 4 5 3 3 4" xfId="9269" xr:uid="{00000000-0005-0000-0000-00005C240000}"/>
    <cellStyle name="Normal 2 4 5 3 3 5" xfId="10351" xr:uid="{44EFEB80-BE26-44A8-B66C-64DDC09A7602}"/>
    <cellStyle name="Normal 2 4 5 3 4" xfId="1180" xr:uid="{00000000-0005-0000-0000-0000C3040000}"/>
    <cellStyle name="Normal 2 4 5 3 4 2" xfId="3410" xr:uid="{00000000-0005-0000-0000-0000790D0000}"/>
    <cellStyle name="Normal 2 4 5 3 4 2 2" xfId="7632" xr:uid="{00000000-0005-0000-0000-0000F71D0000}"/>
    <cellStyle name="Normal 2 4 5 3 4 2 2 2" xfId="17223" xr:uid="{3EAB7A90-486A-4719-A042-3C7CCAE70121}"/>
    <cellStyle name="Normal 2 4 5 3 4 2 3" xfId="13002" xr:uid="{B9D4CA41-7535-4778-9FEE-7E2B013FA0C9}"/>
    <cellStyle name="Normal 2 4 5 3 4 3" xfId="5487" xr:uid="{00000000-0005-0000-0000-000096150000}"/>
    <cellStyle name="Normal 2 4 5 3 4 3 2" xfId="15078" xr:uid="{39098AAE-A868-4CB1-8188-3ED69A3C38A2}"/>
    <cellStyle name="Normal 2 4 5 3 4 4" xfId="10773" xr:uid="{E0C354EC-9CCC-48D0-9838-B9EF72674D21}"/>
    <cellStyle name="Normal 2 4 5 3 5" xfId="1593" xr:uid="{00000000-0005-0000-0000-000060060000}"/>
    <cellStyle name="Normal 2 4 5 3 5 2" xfId="3823" xr:uid="{00000000-0005-0000-0000-0000160F0000}"/>
    <cellStyle name="Normal 2 4 5 3 5 2 2" xfId="8045" xr:uid="{00000000-0005-0000-0000-0000941F0000}"/>
    <cellStyle name="Normal 2 4 5 3 5 2 2 2" xfId="17636" xr:uid="{83612E4D-87B8-4D22-9DB4-25372952774A}"/>
    <cellStyle name="Normal 2 4 5 3 5 2 3" xfId="13415" xr:uid="{AC25E817-C5CE-4B6D-AA90-725707A3FB1A}"/>
    <cellStyle name="Normal 2 4 5 3 5 3" xfId="5900" xr:uid="{00000000-0005-0000-0000-000033170000}"/>
    <cellStyle name="Normal 2 4 5 3 5 3 2" xfId="15491" xr:uid="{00F83674-B6A9-4A24-BFD4-7CD188615CEA}"/>
    <cellStyle name="Normal 2 4 5 3 5 4" xfId="11186" xr:uid="{A8C5D877-310B-4E48-BB68-D14A3EC73F77}"/>
    <cellStyle name="Normal 2 4 5 3 6" xfId="2007" xr:uid="{00000000-0005-0000-0000-0000FE070000}"/>
    <cellStyle name="Normal 2 4 5 3 6 2" xfId="4236" xr:uid="{00000000-0005-0000-0000-0000B3100000}"/>
    <cellStyle name="Normal 2 4 5 3 6 2 2" xfId="8458" xr:uid="{00000000-0005-0000-0000-000031210000}"/>
    <cellStyle name="Normal 2 4 5 3 6 2 2 2" xfId="18049" xr:uid="{FF04A2AA-4EB5-44A0-BC9B-D55EF32676F6}"/>
    <cellStyle name="Normal 2 4 5 3 6 2 3" xfId="13828" xr:uid="{0A65AF4B-FDF4-4CB4-8A9D-835413425658}"/>
    <cellStyle name="Normal 2 4 5 3 6 3" xfId="6313" xr:uid="{00000000-0005-0000-0000-0000D0180000}"/>
    <cellStyle name="Normal 2 4 5 3 6 3 2" xfId="15904" xr:uid="{7F99D895-5819-466B-99C8-1C7EBCB1BE2B}"/>
    <cellStyle name="Normal 2 4 5 3 6 4" xfId="11599" xr:uid="{43E0BC7C-EEF8-4CCB-83C2-4817E935F4E7}"/>
    <cellStyle name="Normal 2 4 5 3 7" xfId="2443" xr:uid="{00000000-0005-0000-0000-0000B2090000}"/>
    <cellStyle name="Normal 2 4 5 3 7 2" xfId="6726" xr:uid="{00000000-0005-0000-0000-00006D1A0000}"/>
    <cellStyle name="Normal 2 4 5 3 7 2 2" xfId="16317" xr:uid="{A2D6F8A9-57E8-4F6C-97D0-C4859F95ECA1}"/>
    <cellStyle name="Normal 2 4 5 3 7 3" xfId="12035" xr:uid="{25DDF460-AD41-4A97-8C6A-B3628B2E3812}"/>
    <cellStyle name="Normal 2 4 5 3 8" xfId="4660" xr:uid="{00000000-0005-0000-0000-00005B120000}"/>
    <cellStyle name="Normal 2 4 5 3 8 2" xfId="14251" xr:uid="{8A6D35C9-E3EC-433B-B0ED-AE04D1442C4D}"/>
    <cellStyle name="Normal 2 4 5 3 9" xfId="8844" xr:uid="{00000000-0005-0000-0000-0000B3220000}"/>
    <cellStyle name="Normal 2 4 5 4" xfId="274" xr:uid="{00000000-0005-0000-0000-000036010000}"/>
    <cellStyle name="Normal 2 4 5 4 2" xfId="760" xr:uid="{00000000-0005-0000-0000-00001F030000}"/>
    <cellStyle name="Normal 2 4 5 4 2 2" xfId="2999" xr:uid="{00000000-0005-0000-0000-0000DE0B0000}"/>
    <cellStyle name="Normal 2 4 5 4 2 2 2" xfId="7221" xr:uid="{00000000-0005-0000-0000-00005C1C0000}"/>
    <cellStyle name="Normal 2 4 5 4 2 2 2 2" xfId="16812" xr:uid="{ADA4A8CA-E09F-414C-A355-20C13C6FD3A5}"/>
    <cellStyle name="Normal 2 4 5 4 2 2 3" xfId="12591" xr:uid="{BB6A414C-50BC-4575-90CC-7FCEA0E4B346}"/>
    <cellStyle name="Normal 2 4 5 4 2 3" xfId="5076" xr:uid="{00000000-0005-0000-0000-0000FB130000}"/>
    <cellStyle name="Normal 2 4 5 4 2 3 2" xfId="14667" xr:uid="{4238FBA6-2891-44A7-9947-3800A6488388}"/>
    <cellStyle name="Normal 2 4 5 4 2 4" xfId="9373" xr:uid="{00000000-0005-0000-0000-0000C4240000}"/>
    <cellStyle name="Normal 2 4 5 4 2 5" xfId="10353" xr:uid="{05F20B62-71B9-4F53-914F-9C8B9A7EB066}"/>
    <cellStyle name="Normal 2 4 5 4 3" xfId="1182" xr:uid="{00000000-0005-0000-0000-0000C5040000}"/>
    <cellStyle name="Normal 2 4 5 4 3 2" xfId="3412" xr:uid="{00000000-0005-0000-0000-00007B0D0000}"/>
    <cellStyle name="Normal 2 4 5 4 3 2 2" xfId="7634" xr:uid="{00000000-0005-0000-0000-0000F91D0000}"/>
    <cellStyle name="Normal 2 4 5 4 3 2 2 2" xfId="17225" xr:uid="{1572B715-28D2-4BB6-AC04-D1AD17386058}"/>
    <cellStyle name="Normal 2 4 5 4 3 2 3" xfId="13004" xr:uid="{527D66E2-7A36-49A7-9894-0415C65B2DF9}"/>
    <cellStyle name="Normal 2 4 5 4 3 3" xfId="5489" xr:uid="{00000000-0005-0000-0000-000098150000}"/>
    <cellStyle name="Normal 2 4 5 4 3 3 2" xfId="15080" xr:uid="{33C70F67-7C93-4C79-9CCA-C9D9B3A546BE}"/>
    <cellStyle name="Normal 2 4 5 4 3 4" xfId="10775" xr:uid="{6C084FDA-BDEA-4F81-A25A-E7DA09ECC7D1}"/>
    <cellStyle name="Normal 2 4 5 4 4" xfId="1595" xr:uid="{00000000-0005-0000-0000-000062060000}"/>
    <cellStyle name="Normal 2 4 5 4 4 2" xfId="3825" xr:uid="{00000000-0005-0000-0000-0000180F0000}"/>
    <cellStyle name="Normal 2 4 5 4 4 2 2" xfId="8047" xr:uid="{00000000-0005-0000-0000-0000961F0000}"/>
    <cellStyle name="Normal 2 4 5 4 4 2 2 2" xfId="17638" xr:uid="{7C274FEC-FF50-48C5-A7FE-8349FAEBAB7C}"/>
    <cellStyle name="Normal 2 4 5 4 4 2 3" xfId="13417" xr:uid="{59E84DD9-73CF-46AB-80F6-23B85998486F}"/>
    <cellStyle name="Normal 2 4 5 4 4 3" xfId="5902" xr:uid="{00000000-0005-0000-0000-000035170000}"/>
    <cellStyle name="Normal 2 4 5 4 4 3 2" xfId="15493" xr:uid="{5B34C917-ACE4-4E6E-A148-A9011B733EA8}"/>
    <cellStyle name="Normal 2 4 5 4 4 4" xfId="11188" xr:uid="{9959E227-0D9B-4C49-8367-14F623407405}"/>
    <cellStyle name="Normal 2 4 5 4 5" xfId="2009" xr:uid="{00000000-0005-0000-0000-000000080000}"/>
    <cellStyle name="Normal 2 4 5 4 5 2" xfId="4238" xr:uid="{00000000-0005-0000-0000-0000B5100000}"/>
    <cellStyle name="Normal 2 4 5 4 5 2 2" xfId="8460" xr:uid="{00000000-0005-0000-0000-000033210000}"/>
    <cellStyle name="Normal 2 4 5 4 5 2 2 2" xfId="18051" xr:uid="{0E33DBD8-FFD8-4954-B8F8-5514B3ADDA12}"/>
    <cellStyle name="Normal 2 4 5 4 5 2 3" xfId="13830" xr:uid="{DFDF3BE9-AD71-448E-9EC7-14FECA9CFDDA}"/>
    <cellStyle name="Normal 2 4 5 4 5 3" xfId="6315" xr:uid="{00000000-0005-0000-0000-0000D2180000}"/>
    <cellStyle name="Normal 2 4 5 4 5 3 2" xfId="15906" xr:uid="{DC4BA2D1-5E1B-4DAA-AB5E-F0F13565580C}"/>
    <cellStyle name="Normal 2 4 5 4 5 4" xfId="11601" xr:uid="{96CD6D07-5118-4742-BFF8-2C69C5EAB0BE}"/>
    <cellStyle name="Normal 2 4 5 4 6" xfId="2445" xr:uid="{00000000-0005-0000-0000-0000B4090000}"/>
    <cellStyle name="Normal 2 4 5 4 6 2" xfId="6728" xr:uid="{00000000-0005-0000-0000-00006F1A0000}"/>
    <cellStyle name="Normal 2 4 5 4 6 2 2" xfId="16319" xr:uid="{CC590E89-A34C-441E-96DC-5037D9988D40}"/>
    <cellStyle name="Normal 2 4 5 4 6 3" xfId="12037" xr:uid="{80F09B26-6803-4991-9FAA-A7E6CE21D836}"/>
    <cellStyle name="Normal 2 4 5 4 7" xfId="4662" xr:uid="{00000000-0005-0000-0000-00005D120000}"/>
    <cellStyle name="Normal 2 4 5 4 7 2" xfId="14253" xr:uid="{EDEAF04C-9586-4515-934B-B74AAEF97234}"/>
    <cellStyle name="Normal 2 4 5 4 8" xfId="8948" xr:uid="{00000000-0005-0000-0000-00001B230000}"/>
    <cellStyle name="Normal 2 4 5 4 9" xfId="9879" xr:uid="{BBAE3B70-D905-46CC-B3B2-A8764592ABC4}"/>
    <cellStyle name="Normal 2 4 5 5" xfId="753" xr:uid="{00000000-0005-0000-0000-000018030000}"/>
    <cellStyle name="Normal 2 4 5 5 2" xfId="2992" xr:uid="{00000000-0005-0000-0000-0000D70B0000}"/>
    <cellStyle name="Normal 2 4 5 5 2 2" xfId="7214" xr:uid="{00000000-0005-0000-0000-0000551C0000}"/>
    <cellStyle name="Normal 2 4 5 5 2 2 2" xfId="16805" xr:uid="{AF633C23-31B2-42DA-8C64-D349F8A847EF}"/>
    <cellStyle name="Normal 2 4 5 5 2 3" xfId="12584" xr:uid="{23E6F78B-B520-47EC-9C28-58327272FC6F}"/>
    <cellStyle name="Normal 2 4 5 5 3" xfId="5069" xr:uid="{00000000-0005-0000-0000-0000F4130000}"/>
    <cellStyle name="Normal 2 4 5 5 3 2" xfId="14660" xr:uid="{CDD75C8A-BCD9-435F-959F-ABBE32F42519}"/>
    <cellStyle name="Normal 2 4 5 5 4" xfId="9165" xr:uid="{00000000-0005-0000-0000-0000F4230000}"/>
    <cellStyle name="Normal 2 4 5 5 5" xfId="10346" xr:uid="{91B01562-9272-4677-A2C6-30779A32FFD5}"/>
    <cellStyle name="Normal 2 4 5 6" xfId="1175" xr:uid="{00000000-0005-0000-0000-0000BE040000}"/>
    <cellStyle name="Normal 2 4 5 6 2" xfId="3405" xr:uid="{00000000-0005-0000-0000-0000740D0000}"/>
    <cellStyle name="Normal 2 4 5 6 2 2" xfId="7627" xr:uid="{00000000-0005-0000-0000-0000F21D0000}"/>
    <cellStyle name="Normal 2 4 5 6 2 2 2" xfId="17218" xr:uid="{FA61737B-F8AE-4165-A0D9-52F7D6F980CB}"/>
    <cellStyle name="Normal 2 4 5 6 2 3" xfId="12997" xr:uid="{00221AE0-45B9-408C-BADB-AF52B08D99C2}"/>
    <cellStyle name="Normal 2 4 5 6 3" xfId="5482" xr:uid="{00000000-0005-0000-0000-000091150000}"/>
    <cellStyle name="Normal 2 4 5 6 3 2" xfId="15073" xr:uid="{42A2A82D-6126-4359-BC11-27ED9F3037DD}"/>
    <cellStyle name="Normal 2 4 5 6 4" xfId="10768" xr:uid="{D2009A23-CD9C-4089-A05A-3D20FB24EE93}"/>
    <cellStyle name="Normal 2 4 5 7" xfId="1588" xr:uid="{00000000-0005-0000-0000-00005B060000}"/>
    <cellStyle name="Normal 2 4 5 7 2" xfId="3818" xr:uid="{00000000-0005-0000-0000-0000110F0000}"/>
    <cellStyle name="Normal 2 4 5 7 2 2" xfId="8040" xr:uid="{00000000-0005-0000-0000-00008F1F0000}"/>
    <cellStyle name="Normal 2 4 5 7 2 2 2" xfId="17631" xr:uid="{9466E4C1-22A2-438E-85E4-E3F949394EE5}"/>
    <cellStyle name="Normal 2 4 5 7 2 3" xfId="13410" xr:uid="{9145A3B3-B3CE-4D27-858F-6AD752BD0FAA}"/>
    <cellStyle name="Normal 2 4 5 7 3" xfId="5895" xr:uid="{00000000-0005-0000-0000-00002E170000}"/>
    <cellStyle name="Normal 2 4 5 7 3 2" xfId="15486" xr:uid="{8ED75F37-5C12-4A55-9BB4-6BF371159911}"/>
    <cellStyle name="Normal 2 4 5 7 4" xfId="11181" xr:uid="{8AE79D55-2C83-42CE-B872-81085B20D607}"/>
    <cellStyle name="Normal 2 4 5 8" xfId="2002" xr:uid="{00000000-0005-0000-0000-0000F9070000}"/>
    <cellStyle name="Normal 2 4 5 8 2" xfId="4231" xr:uid="{00000000-0005-0000-0000-0000AE100000}"/>
    <cellStyle name="Normal 2 4 5 8 2 2" xfId="8453" xr:uid="{00000000-0005-0000-0000-00002C210000}"/>
    <cellStyle name="Normal 2 4 5 8 2 2 2" xfId="18044" xr:uid="{776A764F-AD15-48E1-8F28-C003A02B5B1D}"/>
    <cellStyle name="Normal 2 4 5 8 2 3" xfId="13823" xr:uid="{61A5587C-A4FC-4464-A703-52B57ADDC469}"/>
    <cellStyle name="Normal 2 4 5 8 3" xfId="6308" xr:uid="{00000000-0005-0000-0000-0000CB180000}"/>
    <cellStyle name="Normal 2 4 5 8 3 2" xfId="15899" xr:uid="{6215B2B1-57EB-406A-BC40-9C30E8B09A14}"/>
    <cellStyle name="Normal 2 4 5 8 4" xfId="11594" xr:uid="{A4C5065E-D63C-41BE-A794-C38348D7CC9A}"/>
    <cellStyle name="Normal 2 4 5 9" xfId="2438" xr:uid="{00000000-0005-0000-0000-0000AD090000}"/>
    <cellStyle name="Normal 2 4 5 9 2" xfId="6721" xr:uid="{00000000-0005-0000-0000-0000681A0000}"/>
    <cellStyle name="Normal 2 4 5 9 2 2" xfId="16312" xr:uid="{7EF96FF0-BED6-446F-AD13-DA4B32B335CA}"/>
    <cellStyle name="Normal 2 4 5 9 3" xfId="12030" xr:uid="{037D9FAA-72A8-4104-9DD1-CF3554906B33}"/>
    <cellStyle name="Normal 2 4 6" xfId="275" xr:uid="{00000000-0005-0000-0000-000037010000}"/>
    <cellStyle name="Normal 2 4 6 2" xfId="9880" xr:uid="{7D6EE7B4-B781-419E-8E86-C5BD85BF40F1}"/>
    <cellStyle name="Normal 2 4 7" xfId="276" xr:uid="{00000000-0005-0000-0000-000038010000}"/>
    <cellStyle name="Normal 2 4 7 10" xfId="9881" xr:uid="{502BE655-23E0-47B3-9207-DD2DBD35D83E}"/>
    <cellStyle name="Normal 2 4 7 2" xfId="277" xr:uid="{00000000-0005-0000-0000-000039010000}"/>
    <cellStyle name="Normal 2 4 7 2 2" xfId="762" xr:uid="{00000000-0005-0000-0000-000021030000}"/>
    <cellStyle name="Normal 2 4 7 2 2 2" xfId="3001" xr:uid="{00000000-0005-0000-0000-0000E00B0000}"/>
    <cellStyle name="Normal 2 4 7 2 2 2 2" xfId="7223" xr:uid="{00000000-0005-0000-0000-00005E1C0000}"/>
    <cellStyle name="Normal 2 4 7 2 2 2 2 2" xfId="16814" xr:uid="{2D7F8A81-4445-4F0E-AF49-BAE12B2FED9A}"/>
    <cellStyle name="Normal 2 4 7 2 2 2 3" xfId="12593" xr:uid="{B65EFE92-7281-42DA-948A-5606112D2244}"/>
    <cellStyle name="Normal 2 4 7 2 2 3" xfId="5078" xr:uid="{00000000-0005-0000-0000-0000FD130000}"/>
    <cellStyle name="Normal 2 4 7 2 2 3 2" xfId="14669" xr:uid="{B8A85181-9C8D-43EF-817D-D1A604C8EA05}"/>
    <cellStyle name="Normal 2 4 7 2 2 4" xfId="9444" xr:uid="{00000000-0005-0000-0000-00000B250000}"/>
    <cellStyle name="Normal 2 4 7 2 2 5" xfId="10355" xr:uid="{75FDCD73-A872-4DB0-B248-8FCC1A5777FE}"/>
    <cellStyle name="Normal 2 4 7 2 3" xfId="1184" xr:uid="{00000000-0005-0000-0000-0000C7040000}"/>
    <cellStyle name="Normal 2 4 7 2 3 2" xfId="3414" xr:uid="{00000000-0005-0000-0000-00007D0D0000}"/>
    <cellStyle name="Normal 2 4 7 2 3 2 2" xfId="7636" xr:uid="{00000000-0005-0000-0000-0000FB1D0000}"/>
    <cellStyle name="Normal 2 4 7 2 3 2 2 2" xfId="17227" xr:uid="{30E59445-034F-49B0-9BD1-7439159EAD0A}"/>
    <cellStyle name="Normal 2 4 7 2 3 2 3" xfId="13006" xr:uid="{0E71648F-1CBC-40D7-A6B0-4BD22A09C7FA}"/>
    <cellStyle name="Normal 2 4 7 2 3 3" xfId="5491" xr:uid="{00000000-0005-0000-0000-00009A150000}"/>
    <cellStyle name="Normal 2 4 7 2 3 3 2" xfId="15082" xr:uid="{EC40BF26-2439-4839-9D49-B911C7862B26}"/>
    <cellStyle name="Normal 2 4 7 2 3 4" xfId="10777" xr:uid="{50AC4218-21A9-48EC-ADB0-0CF44505BBFD}"/>
    <cellStyle name="Normal 2 4 7 2 4" xfId="1597" xr:uid="{00000000-0005-0000-0000-000064060000}"/>
    <cellStyle name="Normal 2 4 7 2 4 2" xfId="3827" xr:uid="{00000000-0005-0000-0000-00001A0F0000}"/>
    <cellStyle name="Normal 2 4 7 2 4 2 2" xfId="8049" xr:uid="{00000000-0005-0000-0000-0000981F0000}"/>
    <cellStyle name="Normal 2 4 7 2 4 2 2 2" xfId="17640" xr:uid="{0B6B415E-410F-40A8-A45A-868AF2F7D545}"/>
    <cellStyle name="Normal 2 4 7 2 4 2 3" xfId="13419" xr:uid="{9BC5A595-1C19-4D17-9120-2A396B88DC11}"/>
    <cellStyle name="Normal 2 4 7 2 4 3" xfId="5904" xr:uid="{00000000-0005-0000-0000-000037170000}"/>
    <cellStyle name="Normal 2 4 7 2 4 3 2" xfId="15495" xr:uid="{2BEA594D-2E3B-48E3-A10A-C29B4AFD3358}"/>
    <cellStyle name="Normal 2 4 7 2 4 4" xfId="11190" xr:uid="{249162C9-EDE9-4CAB-9CB4-900F36447C66}"/>
    <cellStyle name="Normal 2 4 7 2 5" xfId="2011" xr:uid="{00000000-0005-0000-0000-000002080000}"/>
    <cellStyle name="Normal 2 4 7 2 5 2" xfId="4240" xr:uid="{00000000-0005-0000-0000-0000B7100000}"/>
    <cellStyle name="Normal 2 4 7 2 5 2 2" xfId="8462" xr:uid="{00000000-0005-0000-0000-000035210000}"/>
    <cellStyle name="Normal 2 4 7 2 5 2 2 2" xfId="18053" xr:uid="{7D841279-7B0D-4293-AE19-9FF34D3DE136}"/>
    <cellStyle name="Normal 2 4 7 2 5 2 3" xfId="13832" xr:uid="{B1BBF4C0-9777-479D-B1A7-BADF2153B77B}"/>
    <cellStyle name="Normal 2 4 7 2 5 3" xfId="6317" xr:uid="{00000000-0005-0000-0000-0000D4180000}"/>
    <cellStyle name="Normal 2 4 7 2 5 3 2" xfId="15908" xr:uid="{4A6AC9A8-D088-40BC-864C-E26F72EBB05B}"/>
    <cellStyle name="Normal 2 4 7 2 5 4" xfId="11603" xr:uid="{AD20E17D-4697-4279-AF5D-1A3A66C9C0BC}"/>
    <cellStyle name="Normal 2 4 7 2 6" xfId="2447" xr:uid="{00000000-0005-0000-0000-0000B6090000}"/>
    <cellStyle name="Normal 2 4 7 2 6 2" xfId="6730" xr:uid="{00000000-0005-0000-0000-0000711A0000}"/>
    <cellStyle name="Normal 2 4 7 2 6 2 2" xfId="16321" xr:uid="{FED2C6A8-E207-4F21-8C0B-7A17CBBE927D}"/>
    <cellStyle name="Normal 2 4 7 2 6 3" xfId="12039" xr:uid="{1FABE0FB-F392-4519-AA60-AF2D460D335E}"/>
    <cellStyle name="Normal 2 4 7 2 7" xfId="4664" xr:uid="{00000000-0005-0000-0000-00005F120000}"/>
    <cellStyle name="Normal 2 4 7 2 7 2" xfId="14255" xr:uid="{0CFECBDB-BD71-4566-8907-FEB0260D52C7}"/>
    <cellStyle name="Normal 2 4 7 2 8" xfId="9019" xr:uid="{00000000-0005-0000-0000-000062230000}"/>
    <cellStyle name="Normal 2 4 7 2 9" xfId="9882" xr:uid="{4A6B79CB-BFB1-4B47-A25B-296F00E7E068}"/>
    <cellStyle name="Normal 2 4 7 3" xfId="761" xr:uid="{00000000-0005-0000-0000-000020030000}"/>
    <cellStyle name="Normal 2 4 7 3 2" xfId="3000" xr:uid="{00000000-0005-0000-0000-0000DF0B0000}"/>
    <cellStyle name="Normal 2 4 7 3 2 2" xfId="7222" xr:uid="{00000000-0005-0000-0000-00005D1C0000}"/>
    <cellStyle name="Normal 2 4 7 3 2 2 2" xfId="16813" xr:uid="{C8E0D399-B453-4C04-BF79-24C8A331CDC5}"/>
    <cellStyle name="Normal 2 4 7 3 2 3" xfId="12592" xr:uid="{15DAFF6E-A72A-4876-9E23-A6C334FE8A10}"/>
    <cellStyle name="Normal 2 4 7 3 3" xfId="5077" xr:uid="{00000000-0005-0000-0000-0000FC130000}"/>
    <cellStyle name="Normal 2 4 7 3 3 2" xfId="14668" xr:uid="{BCE97B98-23A0-418E-B0AC-7ED8D6189052}"/>
    <cellStyle name="Normal 2 4 7 3 4" xfId="9237" xr:uid="{00000000-0005-0000-0000-00003C240000}"/>
    <cellStyle name="Normal 2 4 7 3 5" xfId="10354" xr:uid="{C88FF5F3-D9BD-47D7-849E-4B4B42808BE5}"/>
    <cellStyle name="Normal 2 4 7 4" xfId="1183" xr:uid="{00000000-0005-0000-0000-0000C6040000}"/>
    <cellStyle name="Normal 2 4 7 4 2" xfId="3413" xr:uid="{00000000-0005-0000-0000-00007C0D0000}"/>
    <cellStyle name="Normal 2 4 7 4 2 2" xfId="7635" xr:uid="{00000000-0005-0000-0000-0000FA1D0000}"/>
    <cellStyle name="Normal 2 4 7 4 2 2 2" xfId="17226" xr:uid="{5D00B25D-025A-402F-8FF7-5829F8D606A9}"/>
    <cellStyle name="Normal 2 4 7 4 2 3" xfId="13005" xr:uid="{B8491BC5-8E29-4898-8D75-A9B6BEE7CAB7}"/>
    <cellStyle name="Normal 2 4 7 4 3" xfId="5490" xr:uid="{00000000-0005-0000-0000-000099150000}"/>
    <cellStyle name="Normal 2 4 7 4 3 2" xfId="15081" xr:uid="{0DB5549F-A45A-4177-A696-46F037A6754A}"/>
    <cellStyle name="Normal 2 4 7 4 4" xfId="10776" xr:uid="{03818EF5-7121-4ED6-B465-15ACA7356B24}"/>
    <cellStyle name="Normal 2 4 7 5" xfId="1596" xr:uid="{00000000-0005-0000-0000-000063060000}"/>
    <cellStyle name="Normal 2 4 7 5 2" xfId="3826" xr:uid="{00000000-0005-0000-0000-0000190F0000}"/>
    <cellStyle name="Normal 2 4 7 5 2 2" xfId="8048" xr:uid="{00000000-0005-0000-0000-0000971F0000}"/>
    <cellStyle name="Normal 2 4 7 5 2 2 2" xfId="17639" xr:uid="{7308BAAC-2533-4D1E-A872-CE94266F87F6}"/>
    <cellStyle name="Normal 2 4 7 5 2 3" xfId="13418" xr:uid="{2E5D1E80-079F-4281-8968-C9D5C1742CFA}"/>
    <cellStyle name="Normal 2 4 7 5 3" xfId="5903" xr:uid="{00000000-0005-0000-0000-000036170000}"/>
    <cellStyle name="Normal 2 4 7 5 3 2" xfId="15494" xr:uid="{38330708-0075-4BA5-AFC0-DC57828A195A}"/>
    <cellStyle name="Normal 2 4 7 5 4" xfId="11189" xr:uid="{3733932D-D12A-483F-BF68-21E5E993BCEF}"/>
    <cellStyle name="Normal 2 4 7 6" xfId="2010" xr:uid="{00000000-0005-0000-0000-000001080000}"/>
    <cellStyle name="Normal 2 4 7 6 2" xfId="4239" xr:uid="{00000000-0005-0000-0000-0000B6100000}"/>
    <cellStyle name="Normal 2 4 7 6 2 2" xfId="8461" xr:uid="{00000000-0005-0000-0000-000034210000}"/>
    <cellStyle name="Normal 2 4 7 6 2 2 2" xfId="18052" xr:uid="{2A54F79C-F0B7-4D54-BDAC-107351AAF108}"/>
    <cellStyle name="Normal 2 4 7 6 2 3" xfId="13831" xr:uid="{655E1633-E653-45ED-A3BA-8E66B1308B6A}"/>
    <cellStyle name="Normal 2 4 7 6 3" xfId="6316" xr:uid="{00000000-0005-0000-0000-0000D3180000}"/>
    <cellStyle name="Normal 2 4 7 6 3 2" xfId="15907" xr:uid="{5D2D00E4-E33A-418A-A892-FB3CE5E7EE74}"/>
    <cellStyle name="Normal 2 4 7 6 4" xfId="11602" xr:uid="{79C74A95-D060-4857-B78A-970956A1B687}"/>
    <cellStyle name="Normal 2 4 7 7" xfId="2446" xr:uid="{00000000-0005-0000-0000-0000B5090000}"/>
    <cellStyle name="Normal 2 4 7 7 2" xfId="6729" xr:uid="{00000000-0005-0000-0000-0000701A0000}"/>
    <cellStyle name="Normal 2 4 7 7 2 2" xfId="16320" xr:uid="{368F25D1-8BA4-49B7-8D46-E279378165CA}"/>
    <cellStyle name="Normal 2 4 7 7 3" xfId="12038" xr:uid="{15BB332E-1E89-413B-BA60-4492A2A81561}"/>
    <cellStyle name="Normal 2 4 7 8" xfId="4663" xr:uid="{00000000-0005-0000-0000-00005E120000}"/>
    <cellStyle name="Normal 2 4 7 8 2" xfId="14254" xr:uid="{B084D3AD-9F03-4273-97D0-CF9CF3530DE8}"/>
    <cellStyle name="Normal 2 4 7 9" xfId="8812" xr:uid="{00000000-0005-0000-0000-000093220000}"/>
    <cellStyle name="Normal 2 4 8" xfId="278" xr:uid="{00000000-0005-0000-0000-00003A010000}"/>
    <cellStyle name="Normal 2 4 8 2" xfId="763" xr:uid="{00000000-0005-0000-0000-000022030000}"/>
    <cellStyle name="Normal 2 4 8 2 2" xfId="3002" xr:uid="{00000000-0005-0000-0000-0000E10B0000}"/>
    <cellStyle name="Normal 2 4 8 2 2 2" xfId="7224" xr:uid="{00000000-0005-0000-0000-00005F1C0000}"/>
    <cellStyle name="Normal 2 4 8 2 2 2 2" xfId="16815" xr:uid="{B0B0753B-9031-40E4-99BA-2D95F1529EE1}"/>
    <cellStyle name="Normal 2 4 8 2 2 3" xfId="12594" xr:uid="{C7716392-0187-46FD-94E3-98C6508CD8A3}"/>
    <cellStyle name="Normal 2 4 8 2 3" xfId="5079" xr:uid="{00000000-0005-0000-0000-0000FE130000}"/>
    <cellStyle name="Normal 2 4 8 2 3 2" xfId="14670" xr:uid="{E99C35B4-79FB-449B-B141-5C4BCA655DDD}"/>
    <cellStyle name="Normal 2 4 8 2 4" xfId="9353" xr:uid="{00000000-0005-0000-0000-0000B0240000}"/>
    <cellStyle name="Normal 2 4 8 2 5" xfId="10356" xr:uid="{049FB1AD-F68B-4FB6-98C3-460EFD1BB3BA}"/>
    <cellStyle name="Normal 2 4 8 3" xfId="1185" xr:uid="{00000000-0005-0000-0000-0000C8040000}"/>
    <cellStyle name="Normal 2 4 8 3 2" xfId="3415" xr:uid="{00000000-0005-0000-0000-00007E0D0000}"/>
    <cellStyle name="Normal 2 4 8 3 2 2" xfId="7637" xr:uid="{00000000-0005-0000-0000-0000FC1D0000}"/>
    <cellStyle name="Normal 2 4 8 3 2 2 2" xfId="17228" xr:uid="{EC5372C4-EDA7-4C1C-BA78-5E2F729FB884}"/>
    <cellStyle name="Normal 2 4 8 3 2 3" xfId="13007" xr:uid="{45D4CF60-6D58-462A-A9A0-01471C2F0831}"/>
    <cellStyle name="Normal 2 4 8 3 3" xfId="5492" xr:uid="{00000000-0005-0000-0000-00009B150000}"/>
    <cellStyle name="Normal 2 4 8 3 3 2" xfId="15083" xr:uid="{3EEBFC8E-4C0D-476A-A10D-4E352BF87EF2}"/>
    <cellStyle name="Normal 2 4 8 3 4" xfId="10778" xr:uid="{67485C36-47D5-4DF5-87F0-8FEF116EEE1A}"/>
    <cellStyle name="Normal 2 4 8 4" xfId="1598" xr:uid="{00000000-0005-0000-0000-000065060000}"/>
    <cellStyle name="Normal 2 4 8 4 2" xfId="3828" xr:uid="{00000000-0005-0000-0000-00001B0F0000}"/>
    <cellStyle name="Normal 2 4 8 4 2 2" xfId="8050" xr:uid="{00000000-0005-0000-0000-0000991F0000}"/>
    <cellStyle name="Normal 2 4 8 4 2 2 2" xfId="17641" xr:uid="{1E74C6A8-D7F0-4977-970A-2B47AA87D794}"/>
    <cellStyle name="Normal 2 4 8 4 2 3" xfId="13420" xr:uid="{9222F100-7E8F-4ADD-820D-C365D0AF1A35}"/>
    <cellStyle name="Normal 2 4 8 4 3" xfId="5905" xr:uid="{00000000-0005-0000-0000-000038170000}"/>
    <cellStyle name="Normal 2 4 8 4 3 2" xfId="15496" xr:uid="{51628E82-FE97-4D40-B986-DB4AF0A14DA0}"/>
    <cellStyle name="Normal 2 4 8 4 4" xfId="11191" xr:uid="{9A1871A8-662C-4381-B353-7CFBD3849DFA}"/>
    <cellStyle name="Normal 2 4 8 5" xfId="2012" xr:uid="{00000000-0005-0000-0000-000003080000}"/>
    <cellStyle name="Normal 2 4 8 5 2" xfId="4241" xr:uid="{00000000-0005-0000-0000-0000B8100000}"/>
    <cellStyle name="Normal 2 4 8 5 2 2" xfId="8463" xr:uid="{00000000-0005-0000-0000-000036210000}"/>
    <cellStyle name="Normal 2 4 8 5 2 2 2" xfId="18054" xr:uid="{41D03DFE-019A-4F15-9DD7-3040E07EC223}"/>
    <cellStyle name="Normal 2 4 8 5 2 3" xfId="13833" xr:uid="{EDFF6732-BAC0-4FC5-804B-858FAABCB642}"/>
    <cellStyle name="Normal 2 4 8 5 3" xfId="6318" xr:uid="{00000000-0005-0000-0000-0000D5180000}"/>
    <cellStyle name="Normal 2 4 8 5 3 2" xfId="15909" xr:uid="{40814504-CFEB-42F4-846A-9A390E0FA63A}"/>
    <cellStyle name="Normal 2 4 8 5 4" xfId="11604" xr:uid="{07DA6F1E-968D-4D05-A295-F99FD6C20DFA}"/>
    <cellStyle name="Normal 2 4 8 6" xfId="2448" xr:uid="{00000000-0005-0000-0000-0000B7090000}"/>
    <cellStyle name="Normal 2 4 8 6 2" xfId="6731" xr:uid="{00000000-0005-0000-0000-0000721A0000}"/>
    <cellStyle name="Normal 2 4 8 6 2 2" xfId="16322" xr:uid="{589D3FF3-06CD-4C28-A602-28199DE9E127}"/>
    <cellStyle name="Normal 2 4 8 6 3" xfId="12040" xr:uid="{467201E7-12B4-4483-A01F-9F6A087080D2}"/>
    <cellStyle name="Normal 2 4 8 7" xfId="4665" xr:uid="{00000000-0005-0000-0000-000060120000}"/>
    <cellStyle name="Normal 2 4 8 7 2" xfId="14256" xr:uid="{0C0AD838-E755-4EA5-B4B7-58CA1FDDCFFC}"/>
    <cellStyle name="Normal 2 4 8 8" xfId="8928" xr:uid="{00000000-0005-0000-0000-000007230000}"/>
    <cellStyle name="Normal 2 4 8 9" xfId="9883" xr:uid="{B4448931-2F6C-4AC2-94A1-8E5962BFE52A}"/>
    <cellStyle name="Normal 2 4 9" xfId="9131" xr:uid="{00000000-0005-0000-0000-0000D2230000}"/>
    <cellStyle name="Normal 2 5" xfId="279" xr:uid="{00000000-0005-0000-0000-00003B010000}"/>
    <cellStyle name="Normal 2 5 10" xfId="4666" xr:uid="{00000000-0005-0000-0000-000061120000}"/>
    <cellStyle name="Normal 2 5 10 2" xfId="14257" xr:uid="{3F9AA855-CEF1-4AE7-932A-E8EE26394CAC}"/>
    <cellStyle name="Normal 2 5 11" xfId="9884" xr:uid="{BAA95CD8-484F-4F10-936D-87D8F915D0C3}"/>
    <cellStyle name="Normal 2 5 2" xfId="280" xr:uid="{00000000-0005-0000-0000-00003C010000}"/>
    <cellStyle name="Normal 2 5 3" xfId="281" xr:uid="{00000000-0005-0000-0000-00003D010000}"/>
    <cellStyle name="Normal 2 5 3 2" xfId="9885" xr:uid="{9950CC81-4632-43BF-86DF-473315DFF9AE}"/>
    <cellStyle name="Normal 2 5 4" xfId="282" xr:uid="{00000000-0005-0000-0000-00003E010000}"/>
    <cellStyle name="Normal 2 5 4 10" xfId="8777" xr:uid="{00000000-0005-0000-0000-000070220000}"/>
    <cellStyle name="Normal 2 5 4 11" xfId="9886" xr:uid="{121DAC63-DE73-4CB1-808F-D08BEAB3123F}"/>
    <cellStyle name="Normal 2 5 4 2" xfId="283" xr:uid="{00000000-0005-0000-0000-00003F010000}"/>
    <cellStyle name="Normal 2 5 4 2 10" xfId="9887" xr:uid="{891FDEE7-F542-4547-9C11-B8019D8021F8}"/>
    <cellStyle name="Normal 2 5 4 2 2" xfId="284" xr:uid="{00000000-0005-0000-0000-000040010000}"/>
    <cellStyle name="Normal 2 5 4 2 2 2" xfId="767" xr:uid="{00000000-0005-0000-0000-000026030000}"/>
    <cellStyle name="Normal 2 5 4 2 2 2 2" xfId="3006" xr:uid="{00000000-0005-0000-0000-0000E50B0000}"/>
    <cellStyle name="Normal 2 5 4 2 2 2 2 2" xfId="7228" xr:uid="{00000000-0005-0000-0000-0000631C0000}"/>
    <cellStyle name="Normal 2 5 4 2 2 2 2 2 2" xfId="16819" xr:uid="{BCB4F19E-DDE2-4325-8F41-3175F1B9B579}"/>
    <cellStyle name="Normal 2 5 4 2 2 2 2 3" xfId="12598" xr:uid="{01DF54B7-0005-4693-9ECC-8171091CCF23}"/>
    <cellStyle name="Normal 2 5 4 2 2 2 3" xfId="5083" xr:uid="{00000000-0005-0000-0000-000002140000}"/>
    <cellStyle name="Normal 2 5 4 2 2 2 3 2" xfId="14674" xr:uid="{0E80637B-E003-4545-8057-8227B60FA8FA}"/>
    <cellStyle name="Normal 2 5 4 2 2 2 4" xfId="9512" xr:uid="{00000000-0005-0000-0000-00004F250000}"/>
    <cellStyle name="Normal 2 5 4 2 2 2 5" xfId="10360" xr:uid="{1C0C9AE7-169D-47DF-B63B-DF3CF17AE0C4}"/>
    <cellStyle name="Normal 2 5 4 2 2 3" xfId="1189" xr:uid="{00000000-0005-0000-0000-0000CC040000}"/>
    <cellStyle name="Normal 2 5 4 2 2 3 2" xfId="3419" xr:uid="{00000000-0005-0000-0000-0000820D0000}"/>
    <cellStyle name="Normal 2 5 4 2 2 3 2 2" xfId="7641" xr:uid="{00000000-0005-0000-0000-0000001E0000}"/>
    <cellStyle name="Normal 2 5 4 2 2 3 2 2 2" xfId="17232" xr:uid="{DE340ECB-C5AA-46BB-90D6-2F3377EF1E31}"/>
    <cellStyle name="Normal 2 5 4 2 2 3 2 3" xfId="13011" xr:uid="{383496F3-F79B-4FB0-8DE4-9D89EC264B6B}"/>
    <cellStyle name="Normal 2 5 4 2 2 3 3" xfId="5496" xr:uid="{00000000-0005-0000-0000-00009F150000}"/>
    <cellStyle name="Normal 2 5 4 2 2 3 3 2" xfId="15087" xr:uid="{59F35565-B152-434C-8558-D5F9B880E4BE}"/>
    <cellStyle name="Normal 2 5 4 2 2 3 4" xfId="10782" xr:uid="{A62CAA5E-F888-426B-BFC3-F563636E3E62}"/>
    <cellStyle name="Normal 2 5 4 2 2 4" xfId="1602" xr:uid="{00000000-0005-0000-0000-000069060000}"/>
    <cellStyle name="Normal 2 5 4 2 2 4 2" xfId="3832" xr:uid="{00000000-0005-0000-0000-00001F0F0000}"/>
    <cellStyle name="Normal 2 5 4 2 2 4 2 2" xfId="8054" xr:uid="{00000000-0005-0000-0000-00009D1F0000}"/>
    <cellStyle name="Normal 2 5 4 2 2 4 2 2 2" xfId="17645" xr:uid="{57444796-4118-463C-B58E-3CBABD89D5B6}"/>
    <cellStyle name="Normal 2 5 4 2 2 4 2 3" xfId="13424" xr:uid="{91D106BA-93DE-4906-BA20-24CB1F1B2FAB}"/>
    <cellStyle name="Normal 2 5 4 2 2 4 3" xfId="5909" xr:uid="{00000000-0005-0000-0000-00003C170000}"/>
    <cellStyle name="Normal 2 5 4 2 2 4 3 2" xfId="15500" xr:uid="{3F258A07-99F7-4FDF-9790-DAA1641F6FD8}"/>
    <cellStyle name="Normal 2 5 4 2 2 4 4" xfId="11195" xr:uid="{E6AC0B69-237B-42D5-BA7D-3E42AEC6F649}"/>
    <cellStyle name="Normal 2 5 4 2 2 5" xfId="2016" xr:uid="{00000000-0005-0000-0000-000007080000}"/>
    <cellStyle name="Normal 2 5 4 2 2 5 2" xfId="4245" xr:uid="{00000000-0005-0000-0000-0000BC100000}"/>
    <cellStyle name="Normal 2 5 4 2 2 5 2 2" xfId="8467" xr:uid="{00000000-0005-0000-0000-00003A210000}"/>
    <cellStyle name="Normal 2 5 4 2 2 5 2 2 2" xfId="18058" xr:uid="{2170C038-FB99-4A7F-BF3F-68D51033FF49}"/>
    <cellStyle name="Normal 2 5 4 2 2 5 2 3" xfId="13837" xr:uid="{37042CAA-4703-4EEB-A3FD-FBA600A5E3AA}"/>
    <cellStyle name="Normal 2 5 4 2 2 5 3" xfId="6322" xr:uid="{00000000-0005-0000-0000-0000D9180000}"/>
    <cellStyle name="Normal 2 5 4 2 2 5 3 2" xfId="15913" xr:uid="{775EF66F-1A1B-40FD-A85E-90094EBF4167}"/>
    <cellStyle name="Normal 2 5 4 2 2 5 4" xfId="11608" xr:uid="{340C6DE2-91DE-42F2-8C1A-4652BB76266C}"/>
    <cellStyle name="Normal 2 5 4 2 2 6" xfId="2452" xr:uid="{00000000-0005-0000-0000-0000BB090000}"/>
    <cellStyle name="Normal 2 5 4 2 2 6 2" xfId="6735" xr:uid="{00000000-0005-0000-0000-0000761A0000}"/>
    <cellStyle name="Normal 2 5 4 2 2 6 2 2" xfId="16326" xr:uid="{61C2C872-DF63-47E8-A3D0-25D37FD43B27}"/>
    <cellStyle name="Normal 2 5 4 2 2 6 3" xfId="12044" xr:uid="{FC1BC1FF-A991-47EE-87FE-AFED19786330}"/>
    <cellStyle name="Normal 2 5 4 2 2 7" xfId="4669" xr:uid="{00000000-0005-0000-0000-000064120000}"/>
    <cellStyle name="Normal 2 5 4 2 2 7 2" xfId="14260" xr:uid="{ADC41DC6-FA07-4D9C-BBB3-1C4A9DD3D07C}"/>
    <cellStyle name="Normal 2 5 4 2 2 8" xfId="9087" xr:uid="{00000000-0005-0000-0000-0000A6230000}"/>
    <cellStyle name="Normal 2 5 4 2 2 9" xfId="9888" xr:uid="{4B4F6938-415A-4E53-A51E-A5A950695E60}"/>
    <cellStyle name="Normal 2 5 4 2 3" xfId="766" xr:uid="{00000000-0005-0000-0000-000025030000}"/>
    <cellStyle name="Normal 2 5 4 2 3 2" xfId="3005" xr:uid="{00000000-0005-0000-0000-0000E40B0000}"/>
    <cellStyle name="Normal 2 5 4 2 3 2 2" xfId="7227" xr:uid="{00000000-0005-0000-0000-0000621C0000}"/>
    <cellStyle name="Normal 2 5 4 2 3 2 2 2" xfId="16818" xr:uid="{41283B92-C0F7-4906-80B4-61B9CA29F643}"/>
    <cellStyle name="Normal 2 5 4 2 3 2 3" xfId="12597" xr:uid="{B8567298-CD9C-4112-8AD8-13F025E6F745}"/>
    <cellStyle name="Normal 2 5 4 2 3 3" xfId="5082" xr:uid="{00000000-0005-0000-0000-000001140000}"/>
    <cellStyle name="Normal 2 5 4 2 3 3 2" xfId="14673" xr:uid="{5ECB77D8-E62F-415F-A8AD-9D4C7E5BD6FE}"/>
    <cellStyle name="Normal 2 5 4 2 3 4" xfId="9305" xr:uid="{00000000-0005-0000-0000-000080240000}"/>
    <cellStyle name="Normal 2 5 4 2 3 5" xfId="10359" xr:uid="{3093DE37-DEE1-4892-912F-FB4031A350D2}"/>
    <cellStyle name="Normal 2 5 4 2 4" xfId="1188" xr:uid="{00000000-0005-0000-0000-0000CB040000}"/>
    <cellStyle name="Normal 2 5 4 2 4 2" xfId="3418" xr:uid="{00000000-0005-0000-0000-0000810D0000}"/>
    <cellStyle name="Normal 2 5 4 2 4 2 2" xfId="7640" xr:uid="{00000000-0005-0000-0000-0000FF1D0000}"/>
    <cellStyle name="Normal 2 5 4 2 4 2 2 2" xfId="17231" xr:uid="{12A0CF03-0025-4FCE-82D1-1EBDFC90B3A7}"/>
    <cellStyle name="Normal 2 5 4 2 4 2 3" xfId="13010" xr:uid="{1A599D82-2B76-4DBF-A8B7-721088F80A03}"/>
    <cellStyle name="Normal 2 5 4 2 4 3" xfId="5495" xr:uid="{00000000-0005-0000-0000-00009E150000}"/>
    <cellStyle name="Normal 2 5 4 2 4 3 2" xfId="15086" xr:uid="{B993FB1D-48B8-4BE8-91B6-2FFCC3EA1A41}"/>
    <cellStyle name="Normal 2 5 4 2 4 4" xfId="10781" xr:uid="{DB6A9269-118E-4285-BD99-9E4ABFCB4F4A}"/>
    <cellStyle name="Normal 2 5 4 2 5" xfId="1601" xr:uid="{00000000-0005-0000-0000-000068060000}"/>
    <cellStyle name="Normal 2 5 4 2 5 2" xfId="3831" xr:uid="{00000000-0005-0000-0000-00001E0F0000}"/>
    <cellStyle name="Normal 2 5 4 2 5 2 2" xfId="8053" xr:uid="{00000000-0005-0000-0000-00009C1F0000}"/>
    <cellStyle name="Normal 2 5 4 2 5 2 2 2" xfId="17644" xr:uid="{98CBAFE0-908C-408C-89F7-FCB4937B178F}"/>
    <cellStyle name="Normal 2 5 4 2 5 2 3" xfId="13423" xr:uid="{96908AA3-1D36-4FF7-8D97-D9646743FFFD}"/>
    <cellStyle name="Normal 2 5 4 2 5 3" xfId="5908" xr:uid="{00000000-0005-0000-0000-00003B170000}"/>
    <cellStyle name="Normal 2 5 4 2 5 3 2" xfId="15499" xr:uid="{96C2E68D-F51E-4351-9860-34746223F7E4}"/>
    <cellStyle name="Normal 2 5 4 2 5 4" xfId="11194" xr:uid="{52D3EF7E-DDBD-47BB-8FD8-35A8CDE500D8}"/>
    <cellStyle name="Normal 2 5 4 2 6" xfId="2015" xr:uid="{00000000-0005-0000-0000-000006080000}"/>
    <cellStyle name="Normal 2 5 4 2 6 2" xfId="4244" xr:uid="{00000000-0005-0000-0000-0000BB100000}"/>
    <cellStyle name="Normal 2 5 4 2 6 2 2" xfId="8466" xr:uid="{00000000-0005-0000-0000-000039210000}"/>
    <cellStyle name="Normal 2 5 4 2 6 2 2 2" xfId="18057" xr:uid="{8DF62127-62BF-43F2-8E5B-952EFE40273E}"/>
    <cellStyle name="Normal 2 5 4 2 6 2 3" xfId="13836" xr:uid="{A38CA239-809D-4A5C-8439-E02791220289}"/>
    <cellStyle name="Normal 2 5 4 2 6 3" xfId="6321" xr:uid="{00000000-0005-0000-0000-0000D8180000}"/>
    <cellStyle name="Normal 2 5 4 2 6 3 2" xfId="15912" xr:uid="{F6F0C86E-B593-45EB-988E-2407C4F1D727}"/>
    <cellStyle name="Normal 2 5 4 2 6 4" xfId="11607" xr:uid="{FADD9236-5CBE-4A75-9EBC-3CF954478B0B}"/>
    <cellStyle name="Normal 2 5 4 2 7" xfId="2451" xr:uid="{00000000-0005-0000-0000-0000BA090000}"/>
    <cellStyle name="Normal 2 5 4 2 7 2" xfId="6734" xr:uid="{00000000-0005-0000-0000-0000751A0000}"/>
    <cellStyle name="Normal 2 5 4 2 7 2 2" xfId="16325" xr:uid="{3D3A2CE5-211A-47DA-9562-02EE0BB5F448}"/>
    <cellStyle name="Normal 2 5 4 2 7 3" xfId="12043" xr:uid="{1EA8B76B-F2F5-4696-BF79-62BB5F8C146A}"/>
    <cellStyle name="Normal 2 5 4 2 8" xfId="4668" xr:uid="{00000000-0005-0000-0000-000063120000}"/>
    <cellStyle name="Normal 2 5 4 2 8 2" xfId="14259" xr:uid="{6F57F363-8C17-4916-8B5E-D84087C11F3F}"/>
    <cellStyle name="Normal 2 5 4 2 9" xfId="8880" xr:uid="{00000000-0005-0000-0000-0000D7220000}"/>
    <cellStyle name="Normal 2 5 4 3" xfId="285" xr:uid="{00000000-0005-0000-0000-000041010000}"/>
    <cellStyle name="Normal 2 5 4 3 2" xfId="768" xr:uid="{00000000-0005-0000-0000-000027030000}"/>
    <cellStyle name="Normal 2 5 4 3 2 2" xfId="3007" xr:uid="{00000000-0005-0000-0000-0000E60B0000}"/>
    <cellStyle name="Normal 2 5 4 3 2 2 2" xfId="7229" xr:uid="{00000000-0005-0000-0000-0000641C0000}"/>
    <cellStyle name="Normal 2 5 4 3 2 2 2 2" xfId="16820" xr:uid="{1196B01B-A0F7-4928-92B7-2313D9234446}"/>
    <cellStyle name="Normal 2 5 4 3 2 2 3" xfId="12599" xr:uid="{BECDA287-17CC-40E4-BCEF-59CA23FF5645}"/>
    <cellStyle name="Normal 2 5 4 3 2 3" xfId="5084" xr:uid="{00000000-0005-0000-0000-000003140000}"/>
    <cellStyle name="Normal 2 5 4 3 2 3 2" xfId="14675" xr:uid="{CB0467D7-1E33-43BF-9583-E6D8F23EB6F7}"/>
    <cellStyle name="Normal 2 5 4 3 2 4" xfId="9409" xr:uid="{00000000-0005-0000-0000-0000E8240000}"/>
    <cellStyle name="Normal 2 5 4 3 2 5" xfId="10361" xr:uid="{65678C55-77F2-4894-88B9-35CEF92648DB}"/>
    <cellStyle name="Normal 2 5 4 3 3" xfId="1190" xr:uid="{00000000-0005-0000-0000-0000CD040000}"/>
    <cellStyle name="Normal 2 5 4 3 3 2" xfId="3420" xr:uid="{00000000-0005-0000-0000-0000830D0000}"/>
    <cellStyle name="Normal 2 5 4 3 3 2 2" xfId="7642" xr:uid="{00000000-0005-0000-0000-0000011E0000}"/>
    <cellStyle name="Normal 2 5 4 3 3 2 2 2" xfId="17233" xr:uid="{2FE048B4-DC38-490B-9130-5D86CD29B433}"/>
    <cellStyle name="Normal 2 5 4 3 3 2 3" xfId="13012" xr:uid="{4DED2967-C42A-4422-9C99-6C646C86FB5A}"/>
    <cellStyle name="Normal 2 5 4 3 3 3" xfId="5497" xr:uid="{00000000-0005-0000-0000-0000A0150000}"/>
    <cellStyle name="Normal 2 5 4 3 3 3 2" xfId="15088" xr:uid="{3D1F333A-7013-4C0C-BB05-65F00E9480D5}"/>
    <cellStyle name="Normal 2 5 4 3 3 4" xfId="10783" xr:uid="{8BC4FF1E-E995-4BAC-994C-6DF19F26B9B9}"/>
    <cellStyle name="Normal 2 5 4 3 4" xfId="1603" xr:uid="{00000000-0005-0000-0000-00006A060000}"/>
    <cellStyle name="Normal 2 5 4 3 4 2" xfId="3833" xr:uid="{00000000-0005-0000-0000-0000200F0000}"/>
    <cellStyle name="Normal 2 5 4 3 4 2 2" xfId="8055" xr:uid="{00000000-0005-0000-0000-00009E1F0000}"/>
    <cellStyle name="Normal 2 5 4 3 4 2 2 2" xfId="17646" xr:uid="{631A87B9-E5E9-452B-9A97-42CBCB94A45E}"/>
    <cellStyle name="Normal 2 5 4 3 4 2 3" xfId="13425" xr:uid="{2B6127CC-D671-4930-8213-477D41D44F96}"/>
    <cellStyle name="Normal 2 5 4 3 4 3" xfId="5910" xr:uid="{00000000-0005-0000-0000-00003D170000}"/>
    <cellStyle name="Normal 2 5 4 3 4 3 2" xfId="15501" xr:uid="{6B58508C-5E96-43C9-926A-41927F18AD5A}"/>
    <cellStyle name="Normal 2 5 4 3 4 4" xfId="11196" xr:uid="{06C537E3-7032-4E58-BFD9-8E20FC5BDF9B}"/>
    <cellStyle name="Normal 2 5 4 3 5" xfId="2017" xr:uid="{00000000-0005-0000-0000-000008080000}"/>
    <cellStyle name="Normal 2 5 4 3 5 2" xfId="4246" xr:uid="{00000000-0005-0000-0000-0000BD100000}"/>
    <cellStyle name="Normal 2 5 4 3 5 2 2" xfId="8468" xr:uid="{00000000-0005-0000-0000-00003B210000}"/>
    <cellStyle name="Normal 2 5 4 3 5 2 2 2" xfId="18059" xr:uid="{1BD90B8C-D8BA-4248-8469-D498A51A97E2}"/>
    <cellStyle name="Normal 2 5 4 3 5 2 3" xfId="13838" xr:uid="{CC333733-C204-483E-BD00-1413A88433C7}"/>
    <cellStyle name="Normal 2 5 4 3 5 3" xfId="6323" xr:uid="{00000000-0005-0000-0000-0000DA180000}"/>
    <cellStyle name="Normal 2 5 4 3 5 3 2" xfId="15914" xr:uid="{2CD387A7-2F9F-4815-8A9B-1DD870A2B02B}"/>
    <cellStyle name="Normal 2 5 4 3 5 4" xfId="11609" xr:uid="{BB0BE821-A92C-40D0-B97E-912622F7FF47}"/>
    <cellStyle name="Normal 2 5 4 3 6" xfId="2453" xr:uid="{00000000-0005-0000-0000-0000BC090000}"/>
    <cellStyle name="Normal 2 5 4 3 6 2" xfId="6736" xr:uid="{00000000-0005-0000-0000-0000771A0000}"/>
    <cellStyle name="Normal 2 5 4 3 6 2 2" xfId="16327" xr:uid="{17A8924F-0D39-408C-A313-D159A6E32853}"/>
    <cellStyle name="Normal 2 5 4 3 6 3" xfId="12045" xr:uid="{1E92CC8D-C888-4A33-BF8C-E1D6F9F7CB36}"/>
    <cellStyle name="Normal 2 5 4 3 7" xfId="4670" xr:uid="{00000000-0005-0000-0000-000065120000}"/>
    <cellStyle name="Normal 2 5 4 3 7 2" xfId="14261" xr:uid="{9007DE5C-90C3-489C-95EB-A60D21E56F74}"/>
    <cellStyle name="Normal 2 5 4 3 8" xfId="8984" xr:uid="{00000000-0005-0000-0000-00003F230000}"/>
    <cellStyle name="Normal 2 5 4 3 9" xfId="9889" xr:uid="{19918C84-CE81-414E-A910-A03D2AB33886}"/>
    <cellStyle name="Normal 2 5 4 4" xfId="765" xr:uid="{00000000-0005-0000-0000-000024030000}"/>
    <cellStyle name="Normal 2 5 4 4 2" xfId="3004" xr:uid="{00000000-0005-0000-0000-0000E30B0000}"/>
    <cellStyle name="Normal 2 5 4 4 2 2" xfId="7226" xr:uid="{00000000-0005-0000-0000-0000611C0000}"/>
    <cellStyle name="Normal 2 5 4 4 2 2 2" xfId="16817" xr:uid="{05E35AA7-4AD0-49AE-960B-160DC0362360}"/>
    <cellStyle name="Normal 2 5 4 4 2 3" xfId="12596" xr:uid="{FE88A3BC-F4BE-4947-BA36-8D2CC2BB327D}"/>
    <cellStyle name="Normal 2 5 4 4 3" xfId="5081" xr:uid="{00000000-0005-0000-0000-000000140000}"/>
    <cellStyle name="Normal 2 5 4 4 3 2" xfId="14672" xr:uid="{2624BB06-160C-471A-8B59-B7E9A974B8C4}"/>
    <cellStyle name="Normal 2 5 4 4 4" xfId="9202" xr:uid="{00000000-0005-0000-0000-000019240000}"/>
    <cellStyle name="Normal 2 5 4 4 5" xfId="10358" xr:uid="{D816D79B-FB5A-4FDC-8476-9B8B9CA743E3}"/>
    <cellStyle name="Normal 2 5 4 5" xfId="1187" xr:uid="{00000000-0005-0000-0000-0000CA040000}"/>
    <cellStyle name="Normal 2 5 4 5 2" xfId="3417" xr:uid="{00000000-0005-0000-0000-0000800D0000}"/>
    <cellStyle name="Normal 2 5 4 5 2 2" xfId="7639" xr:uid="{00000000-0005-0000-0000-0000FE1D0000}"/>
    <cellStyle name="Normal 2 5 4 5 2 2 2" xfId="17230" xr:uid="{C9754916-A8E1-4E0B-9DD4-BDE5FF66FFF3}"/>
    <cellStyle name="Normal 2 5 4 5 2 3" xfId="13009" xr:uid="{169E0523-3AD8-474B-B778-A71DB2D5810F}"/>
    <cellStyle name="Normal 2 5 4 5 3" xfId="5494" xr:uid="{00000000-0005-0000-0000-00009D150000}"/>
    <cellStyle name="Normal 2 5 4 5 3 2" xfId="15085" xr:uid="{92C3F3AB-4560-4170-9153-39FF8629A5EB}"/>
    <cellStyle name="Normal 2 5 4 5 4" xfId="10780" xr:uid="{5A241D36-CF5D-4FDD-AC85-6BA4AC046FA4}"/>
    <cellStyle name="Normal 2 5 4 6" xfId="1600" xr:uid="{00000000-0005-0000-0000-000067060000}"/>
    <cellStyle name="Normal 2 5 4 6 2" xfId="3830" xr:uid="{00000000-0005-0000-0000-00001D0F0000}"/>
    <cellStyle name="Normal 2 5 4 6 2 2" xfId="8052" xr:uid="{00000000-0005-0000-0000-00009B1F0000}"/>
    <cellStyle name="Normal 2 5 4 6 2 2 2" xfId="17643" xr:uid="{A2A1E424-F9D8-4CAD-87E8-E9FA1CA00A34}"/>
    <cellStyle name="Normal 2 5 4 6 2 3" xfId="13422" xr:uid="{BF286274-E527-443E-ADF0-7B2254870758}"/>
    <cellStyle name="Normal 2 5 4 6 3" xfId="5907" xr:uid="{00000000-0005-0000-0000-00003A170000}"/>
    <cellStyle name="Normal 2 5 4 6 3 2" xfId="15498" xr:uid="{898A5DE3-FA96-4BD7-8976-47ACA1C63560}"/>
    <cellStyle name="Normal 2 5 4 6 4" xfId="11193" xr:uid="{5F6DA789-77C7-437B-BB83-B8A959A230CA}"/>
    <cellStyle name="Normal 2 5 4 7" xfId="2014" xr:uid="{00000000-0005-0000-0000-000005080000}"/>
    <cellStyle name="Normal 2 5 4 7 2" xfId="4243" xr:uid="{00000000-0005-0000-0000-0000BA100000}"/>
    <cellStyle name="Normal 2 5 4 7 2 2" xfId="8465" xr:uid="{00000000-0005-0000-0000-000038210000}"/>
    <cellStyle name="Normal 2 5 4 7 2 2 2" xfId="18056" xr:uid="{E1025CA0-41C8-43B3-9CB8-CE9434DEF5D7}"/>
    <cellStyle name="Normal 2 5 4 7 2 3" xfId="13835" xr:uid="{C2C6032E-C753-41B1-BFCD-BDC3F5B6A92D}"/>
    <cellStyle name="Normal 2 5 4 7 3" xfId="6320" xr:uid="{00000000-0005-0000-0000-0000D7180000}"/>
    <cellStyle name="Normal 2 5 4 7 3 2" xfId="15911" xr:uid="{7F5ADFE4-582F-49B3-B44A-6191511FEF9A}"/>
    <cellStyle name="Normal 2 5 4 7 4" xfId="11606" xr:uid="{62E10B23-802E-48D7-86C2-F270C3874A65}"/>
    <cellStyle name="Normal 2 5 4 8" xfId="2450" xr:uid="{00000000-0005-0000-0000-0000B9090000}"/>
    <cellStyle name="Normal 2 5 4 8 2" xfId="6733" xr:uid="{00000000-0005-0000-0000-0000741A0000}"/>
    <cellStyle name="Normal 2 5 4 8 2 2" xfId="16324" xr:uid="{990E1847-8CA1-4487-AB8C-E25E1DDFCA87}"/>
    <cellStyle name="Normal 2 5 4 8 3" xfId="12042" xr:uid="{D86CA212-28AB-4EC2-AAD7-9A5C448B08CC}"/>
    <cellStyle name="Normal 2 5 4 9" xfId="4667" xr:uid="{00000000-0005-0000-0000-000062120000}"/>
    <cellStyle name="Normal 2 5 4 9 2" xfId="14258" xr:uid="{B3C5A608-EFA4-40B3-99CC-19A73456136B}"/>
    <cellStyle name="Normal 2 5 5" xfId="764" xr:uid="{00000000-0005-0000-0000-000023030000}"/>
    <cellStyle name="Normal 2 5 5 2" xfId="3003" xr:uid="{00000000-0005-0000-0000-0000E20B0000}"/>
    <cellStyle name="Normal 2 5 5 2 2" xfId="7225" xr:uid="{00000000-0005-0000-0000-0000601C0000}"/>
    <cellStyle name="Normal 2 5 5 2 2 2" xfId="16816" xr:uid="{804DFA1E-4EBA-43FE-A3B2-3FC19595030F}"/>
    <cellStyle name="Normal 2 5 5 2 3" xfId="12595" xr:uid="{454A532A-80B9-445F-96C7-DCE980317792}"/>
    <cellStyle name="Normal 2 5 5 3" xfId="5080" xr:uid="{00000000-0005-0000-0000-0000FF130000}"/>
    <cellStyle name="Normal 2 5 5 3 2" xfId="14671" xr:uid="{905007C2-605A-4D28-A196-DE9D928D4083}"/>
    <cellStyle name="Normal 2 5 5 4" xfId="9567" xr:uid="{00000000-0005-0000-0000-000086250000}"/>
    <cellStyle name="Normal 2 5 5 5" xfId="10357" xr:uid="{110FB3F0-7402-401F-9908-999F061CC76B}"/>
    <cellStyle name="Normal 2 5 6" xfId="1186" xr:uid="{00000000-0005-0000-0000-0000C9040000}"/>
    <cellStyle name="Normal 2 5 6 2" xfId="3416" xr:uid="{00000000-0005-0000-0000-00007F0D0000}"/>
    <cellStyle name="Normal 2 5 6 2 2" xfId="7638" xr:uid="{00000000-0005-0000-0000-0000FD1D0000}"/>
    <cellStyle name="Normal 2 5 6 2 2 2" xfId="17229" xr:uid="{6AA1D69E-50F5-4573-9264-883588C47260}"/>
    <cellStyle name="Normal 2 5 6 2 3" xfId="13008" xr:uid="{A70EABC0-4939-44AA-A8EF-15E33ED58498}"/>
    <cellStyle name="Normal 2 5 6 3" xfId="5493" xr:uid="{00000000-0005-0000-0000-00009C150000}"/>
    <cellStyle name="Normal 2 5 6 3 2" xfId="15084" xr:uid="{D45A1538-C704-42A6-B8D2-4E0AB13C25DD}"/>
    <cellStyle name="Normal 2 5 6 4" xfId="10779" xr:uid="{3A876AF9-B4C6-4DE6-B82E-E4BF0550FEC3}"/>
    <cellStyle name="Normal 2 5 7" xfId="1599" xr:uid="{00000000-0005-0000-0000-000066060000}"/>
    <cellStyle name="Normal 2 5 7 2" xfId="3829" xr:uid="{00000000-0005-0000-0000-00001C0F0000}"/>
    <cellStyle name="Normal 2 5 7 2 2" xfId="8051" xr:uid="{00000000-0005-0000-0000-00009A1F0000}"/>
    <cellStyle name="Normal 2 5 7 2 2 2" xfId="17642" xr:uid="{362EB9A9-371A-4A46-90E6-E71EDDF42FCD}"/>
    <cellStyle name="Normal 2 5 7 2 3" xfId="13421" xr:uid="{70450DF9-9577-47B1-8DB8-8E70553FD078}"/>
    <cellStyle name="Normal 2 5 7 3" xfId="5906" xr:uid="{00000000-0005-0000-0000-000039170000}"/>
    <cellStyle name="Normal 2 5 7 3 2" xfId="15497" xr:uid="{53264B0D-B3B2-459C-8298-F84E11785B74}"/>
    <cellStyle name="Normal 2 5 7 4" xfId="11192" xr:uid="{1DFB46FA-4383-42E6-B6D5-E45C39FA800A}"/>
    <cellStyle name="Normal 2 5 8" xfId="2013" xr:uid="{00000000-0005-0000-0000-000004080000}"/>
    <cellStyle name="Normal 2 5 8 2" xfId="4242" xr:uid="{00000000-0005-0000-0000-0000B9100000}"/>
    <cellStyle name="Normal 2 5 8 2 2" xfId="8464" xr:uid="{00000000-0005-0000-0000-000037210000}"/>
    <cellStyle name="Normal 2 5 8 2 2 2" xfId="18055" xr:uid="{D46642F2-BA9D-4741-97CE-495EA34EFF00}"/>
    <cellStyle name="Normal 2 5 8 2 3" xfId="13834" xr:uid="{DE6CCACA-E959-4D19-8126-0C9E4EFE1E04}"/>
    <cellStyle name="Normal 2 5 8 3" xfId="6319" xr:uid="{00000000-0005-0000-0000-0000D6180000}"/>
    <cellStyle name="Normal 2 5 8 3 2" xfId="15910" xr:uid="{2A5D946E-D4C1-4776-8795-74D64202E359}"/>
    <cellStyle name="Normal 2 5 8 4" xfId="11605" xr:uid="{3C133CFD-731C-4E95-AD2F-305591796D63}"/>
    <cellStyle name="Normal 2 5 9" xfId="2449" xr:uid="{00000000-0005-0000-0000-0000B8090000}"/>
    <cellStyle name="Normal 2 5 9 2" xfId="6732" xr:uid="{00000000-0005-0000-0000-0000731A0000}"/>
    <cellStyle name="Normal 2 5 9 2 2" xfId="16323" xr:uid="{338AE76D-A793-4CA8-A8F0-BD1B801A1552}"/>
    <cellStyle name="Normal 2 5 9 3" xfId="12041" xr:uid="{B4220C6E-8028-4F4F-9D88-0095B2830DF2}"/>
    <cellStyle name="Normal 2 6" xfId="286" xr:uid="{00000000-0005-0000-0000-000042010000}"/>
    <cellStyle name="Normal 2 7" xfId="730" xr:uid="{00000000-0005-0000-0000-000001030000}"/>
    <cellStyle name="Normal 2 7 2" xfId="9541" xr:uid="{00000000-0005-0000-0000-00006C250000}"/>
    <cellStyle name="Normal 2 7 3" xfId="9119" xr:uid="{00000000-0005-0000-0000-0000C6230000}"/>
    <cellStyle name="Normal 2 7 4" xfId="10323" xr:uid="{9AC4AE53-A087-4425-9512-8DAD7B5EFB44}"/>
    <cellStyle name="Normal 2 8" xfId="4456" xr:uid="{00000000-0005-0000-0000-00008F110000}"/>
    <cellStyle name="Normal 2 8 2" xfId="9551" xr:uid="{00000000-0005-0000-0000-000076250000}"/>
    <cellStyle name="Normal 2 8 3" xfId="14048" xr:uid="{0F739207-2738-412B-B659-1746D6C87430}"/>
    <cellStyle name="Normal 2 9" xfId="9844" xr:uid="{E25F606B-D740-4019-8FFF-799EB76BC73A}"/>
    <cellStyle name="Normal 20" xfId="9606" xr:uid="{3AD0D218-A593-4F9C-BB30-F2A61C46BA6B}"/>
    <cellStyle name="Normal 25" xfId="9121" xr:uid="{00000000-0005-0000-0000-0000C8230000}"/>
    <cellStyle name="Normal 25 3" xfId="9122" xr:uid="{00000000-0005-0000-0000-0000C9230000}"/>
    <cellStyle name="Normal 25 3 2" xfId="9542" xr:uid="{00000000-0005-0000-0000-00006D250000}"/>
    <cellStyle name="Normal 3" xfId="287" xr:uid="{00000000-0005-0000-0000-000043010000}"/>
    <cellStyle name="Normal 3 2" xfId="288" xr:uid="{00000000-0005-0000-0000-000044010000}"/>
    <cellStyle name="Normal 3 2 10" xfId="9891" xr:uid="{6B168815-C3A9-4E90-BF06-950DE0682874}"/>
    <cellStyle name="Normal 3 2 2" xfId="289" xr:uid="{00000000-0005-0000-0000-000045010000}"/>
    <cellStyle name="Normal 3 2 2 2" xfId="771" xr:uid="{00000000-0005-0000-0000-00002A030000}"/>
    <cellStyle name="Normal 3 2 2 2 2" xfId="10364" xr:uid="{F644C7B4-E757-4B30-B132-9B7634786FE0}"/>
    <cellStyle name="Normal 3 2 2 3" xfId="9892" xr:uid="{3EFF4E98-73F9-41B9-9D72-8958296FF1E1}"/>
    <cellStyle name="Normal 3 2 3" xfId="290" xr:uid="{00000000-0005-0000-0000-000046010000}"/>
    <cellStyle name="Normal 3 2 3 10" xfId="8778" xr:uid="{00000000-0005-0000-0000-000071220000}"/>
    <cellStyle name="Normal 3 2 3 11" xfId="9893" xr:uid="{3942E355-4D0B-4B60-85F6-0B709EB2DB05}"/>
    <cellStyle name="Normal 3 2 3 2" xfId="291" xr:uid="{00000000-0005-0000-0000-000047010000}"/>
    <cellStyle name="Normal 3 2 3 2 10" xfId="9894" xr:uid="{588069D8-C9FF-4B85-A8DE-CF7F8AF9055B}"/>
    <cellStyle name="Normal 3 2 3 2 2" xfId="292" xr:uid="{00000000-0005-0000-0000-000048010000}"/>
    <cellStyle name="Normal 3 2 3 2 2 2" xfId="774" xr:uid="{00000000-0005-0000-0000-00002D030000}"/>
    <cellStyle name="Normal 3 2 3 2 2 2 2" xfId="3011" xr:uid="{00000000-0005-0000-0000-0000EA0B0000}"/>
    <cellStyle name="Normal 3 2 3 2 2 2 2 2" xfId="7233" xr:uid="{00000000-0005-0000-0000-0000681C0000}"/>
    <cellStyle name="Normal 3 2 3 2 2 2 2 2 2" xfId="16824" xr:uid="{BEDB6C2A-2C5A-460B-A996-CDCA9E372004}"/>
    <cellStyle name="Normal 3 2 3 2 2 2 2 3" xfId="12603" xr:uid="{A1FF0B23-4AD5-4075-AAC6-A6DDCDDCFDA3}"/>
    <cellStyle name="Normal 3 2 3 2 2 2 3" xfId="5088" xr:uid="{00000000-0005-0000-0000-000007140000}"/>
    <cellStyle name="Normal 3 2 3 2 2 2 3 2" xfId="14679" xr:uid="{32C04222-7F47-4806-991F-1F0985335516}"/>
    <cellStyle name="Normal 3 2 3 2 2 2 4" xfId="9513" xr:uid="{00000000-0005-0000-0000-000050250000}"/>
    <cellStyle name="Normal 3 2 3 2 2 2 5" xfId="10367" xr:uid="{40CD1DDA-AEEB-490F-9A26-37D34BC08EC4}"/>
    <cellStyle name="Normal 3 2 3 2 2 3" xfId="1194" xr:uid="{00000000-0005-0000-0000-0000D1040000}"/>
    <cellStyle name="Normal 3 2 3 2 2 3 2" xfId="3424" xr:uid="{00000000-0005-0000-0000-0000870D0000}"/>
    <cellStyle name="Normal 3 2 3 2 2 3 2 2" xfId="7646" xr:uid="{00000000-0005-0000-0000-0000051E0000}"/>
    <cellStyle name="Normal 3 2 3 2 2 3 2 2 2" xfId="17237" xr:uid="{6AF70551-9D23-4E3D-AEFE-B1A5CBAFE41A}"/>
    <cellStyle name="Normal 3 2 3 2 2 3 2 3" xfId="13016" xr:uid="{2C4418DE-46B6-40A3-9114-769A7FED15B2}"/>
    <cellStyle name="Normal 3 2 3 2 2 3 3" xfId="5501" xr:uid="{00000000-0005-0000-0000-0000A4150000}"/>
    <cellStyle name="Normal 3 2 3 2 2 3 3 2" xfId="15092" xr:uid="{3E2E4EBA-0DD7-4AF3-BA03-E3E1175F9F88}"/>
    <cellStyle name="Normal 3 2 3 2 2 3 4" xfId="10787" xr:uid="{A01C398F-D301-4694-8D8F-992A8BDF3EEF}"/>
    <cellStyle name="Normal 3 2 3 2 2 4" xfId="1607" xr:uid="{00000000-0005-0000-0000-00006E060000}"/>
    <cellStyle name="Normal 3 2 3 2 2 4 2" xfId="3837" xr:uid="{00000000-0005-0000-0000-0000240F0000}"/>
    <cellStyle name="Normal 3 2 3 2 2 4 2 2" xfId="8059" xr:uid="{00000000-0005-0000-0000-0000A21F0000}"/>
    <cellStyle name="Normal 3 2 3 2 2 4 2 2 2" xfId="17650" xr:uid="{B5C65C04-8FBC-410E-84E8-7A619F27C750}"/>
    <cellStyle name="Normal 3 2 3 2 2 4 2 3" xfId="13429" xr:uid="{DB35A9AA-B54E-4BC4-B5AC-277EBAA23E01}"/>
    <cellStyle name="Normal 3 2 3 2 2 4 3" xfId="5914" xr:uid="{00000000-0005-0000-0000-000041170000}"/>
    <cellStyle name="Normal 3 2 3 2 2 4 3 2" xfId="15505" xr:uid="{733805F2-4763-4752-8625-408CB2D9ABDD}"/>
    <cellStyle name="Normal 3 2 3 2 2 4 4" xfId="11200" xr:uid="{27AC80F1-855E-4CE0-ACA1-E64289B32B4E}"/>
    <cellStyle name="Normal 3 2 3 2 2 5" xfId="2021" xr:uid="{00000000-0005-0000-0000-00000C080000}"/>
    <cellStyle name="Normal 3 2 3 2 2 5 2" xfId="4250" xr:uid="{00000000-0005-0000-0000-0000C1100000}"/>
    <cellStyle name="Normal 3 2 3 2 2 5 2 2" xfId="8472" xr:uid="{00000000-0005-0000-0000-00003F210000}"/>
    <cellStyle name="Normal 3 2 3 2 2 5 2 2 2" xfId="18063" xr:uid="{10313CAE-CFCD-47E4-9D07-73F2FF7E67FE}"/>
    <cellStyle name="Normal 3 2 3 2 2 5 2 3" xfId="13842" xr:uid="{CE58FAFF-879A-4ECE-9A47-EE793B578934}"/>
    <cellStyle name="Normal 3 2 3 2 2 5 3" xfId="6327" xr:uid="{00000000-0005-0000-0000-0000DE180000}"/>
    <cellStyle name="Normal 3 2 3 2 2 5 3 2" xfId="15918" xr:uid="{51DF08F9-12CA-47B1-9AB6-4A218705B27B}"/>
    <cellStyle name="Normal 3 2 3 2 2 5 4" xfId="11613" xr:uid="{C6A07C63-F3E8-4524-BB8B-B1F8F0B1E410}"/>
    <cellStyle name="Normal 3 2 3 2 2 6" xfId="2457" xr:uid="{00000000-0005-0000-0000-0000C0090000}"/>
    <cellStyle name="Normal 3 2 3 2 2 6 2" xfId="6740" xr:uid="{00000000-0005-0000-0000-00007B1A0000}"/>
    <cellStyle name="Normal 3 2 3 2 2 6 2 2" xfId="16331" xr:uid="{87330452-FC72-492E-8F0A-EBE500489DF8}"/>
    <cellStyle name="Normal 3 2 3 2 2 6 3" xfId="12049" xr:uid="{DBD05BD3-0210-45B6-A252-45C91FBD4AB3}"/>
    <cellStyle name="Normal 3 2 3 2 2 7" xfId="4674" xr:uid="{00000000-0005-0000-0000-000069120000}"/>
    <cellStyle name="Normal 3 2 3 2 2 7 2" xfId="14265" xr:uid="{B75CFF5B-90FD-4A07-A1D6-CA87B95B235D}"/>
    <cellStyle name="Normal 3 2 3 2 2 8" xfId="9088" xr:uid="{00000000-0005-0000-0000-0000A7230000}"/>
    <cellStyle name="Normal 3 2 3 2 2 9" xfId="9895" xr:uid="{5444170A-476F-4F33-9BA7-87A253A4BBD5}"/>
    <cellStyle name="Normal 3 2 3 2 3" xfId="773" xr:uid="{00000000-0005-0000-0000-00002C030000}"/>
    <cellStyle name="Normal 3 2 3 2 3 2" xfId="3010" xr:uid="{00000000-0005-0000-0000-0000E90B0000}"/>
    <cellStyle name="Normal 3 2 3 2 3 2 2" xfId="7232" xr:uid="{00000000-0005-0000-0000-0000671C0000}"/>
    <cellStyle name="Normal 3 2 3 2 3 2 2 2" xfId="16823" xr:uid="{F7AE37AF-60C2-4D46-BE88-1474C5C20992}"/>
    <cellStyle name="Normal 3 2 3 2 3 2 3" xfId="12602" xr:uid="{85C638EB-7EB2-4D11-B535-E88D66CEC911}"/>
    <cellStyle name="Normal 3 2 3 2 3 3" xfId="5087" xr:uid="{00000000-0005-0000-0000-000006140000}"/>
    <cellStyle name="Normal 3 2 3 2 3 3 2" xfId="14678" xr:uid="{A373FFB6-A867-4AAB-A497-5A144A6C554C}"/>
    <cellStyle name="Normal 3 2 3 2 3 4" xfId="9306" xr:uid="{00000000-0005-0000-0000-000081240000}"/>
    <cellStyle name="Normal 3 2 3 2 3 5" xfId="10366" xr:uid="{9C81CA0A-0772-4ADC-A7EE-68149CC0A01F}"/>
    <cellStyle name="Normal 3 2 3 2 4" xfId="1193" xr:uid="{00000000-0005-0000-0000-0000D0040000}"/>
    <cellStyle name="Normal 3 2 3 2 4 2" xfId="3423" xr:uid="{00000000-0005-0000-0000-0000860D0000}"/>
    <cellStyle name="Normal 3 2 3 2 4 2 2" xfId="7645" xr:uid="{00000000-0005-0000-0000-0000041E0000}"/>
    <cellStyle name="Normal 3 2 3 2 4 2 2 2" xfId="17236" xr:uid="{2B608093-D65B-4D1E-ABAB-A3D0D847DBFA}"/>
    <cellStyle name="Normal 3 2 3 2 4 2 3" xfId="13015" xr:uid="{EB70EC06-94E2-498A-A70B-02A6736C4761}"/>
    <cellStyle name="Normal 3 2 3 2 4 3" xfId="5500" xr:uid="{00000000-0005-0000-0000-0000A3150000}"/>
    <cellStyle name="Normal 3 2 3 2 4 3 2" xfId="15091" xr:uid="{0D4BFF72-FBE3-4202-8CD6-B42E7D386D02}"/>
    <cellStyle name="Normal 3 2 3 2 4 4" xfId="10786" xr:uid="{36798A0B-D688-4579-B788-62C2061C3B64}"/>
    <cellStyle name="Normal 3 2 3 2 5" xfId="1606" xr:uid="{00000000-0005-0000-0000-00006D060000}"/>
    <cellStyle name="Normal 3 2 3 2 5 2" xfId="3836" xr:uid="{00000000-0005-0000-0000-0000230F0000}"/>
    <cellStyle name="Normal 3 2 3 2 5 2 2" xfId="8058" xr:uid="{00000000-0005-0000-0000-0000A11F0000}"/>
    <cellStyle name="Normal 3 2 3 2 5 2 2 2" xfId="17649" xr:uid="{935434DF-76A4-4AD5-B466-D8CBEA160AD1}"/>
    <cellStyle name="Normal 3 2 3 2 5 2 3" xfId="13428" xr:uid="{4DB33FCE-F696-48BA-BB21-660B49751231}"/>
    <cellStyle name="Normal 3 2 3 2 5 3" xfId="5913" xr:uid="{00000000-0005-0000-0000-000040170000}"/>
    <cellStyle name="Normal 3 2 3 2 5 3 2" xfId="15504" xr:uid="{F2C74203-D426-48BE-A7D2-FFF35CBBC294}"/>
    <cellStyle name="Normal 3 2 3 2 5 4" xfId="11199" xr:uid="{B13E61AC-43AB-434D-860E-149B2DA55091}"/>
    <cellStyle name="Normal 3 2 3 2 6" xfId="2020" xr:uid="{00000000-0005-0000-0000-00000B080000}"/>
    <cellStyle name="Normal 3 2 3 2 6 2" xfId="4249" xr:uid="{00000000-0005-0000-0000-0000C0100000}"/>
    <cellStyle name="Normal 3 2 3 2 6 2 2" xfId="8471" xr:uid="{00000000-0005-0000-0000-00003E210000}"/>
    <cellStyle name="Normal 3 2 3 2 6 2 2 2" xfId="18062" xr:uid="{F1F6A480-AFD4-4C88-95AC-BCDB0216880A}"/>
    <cellStyle name="Normal 3 2 3 2 6 2 3" xfId="13841" xr:uid="{B45007CE-7A2A-48B0-AD47-2A152D0EF037}"/>
    <cellStyle name="Normal 3 2 3 2 6 3" xfId="6326" xr:uid="{00000000-0005-0000-0000-0000DD180000}"/>
    <cellStyle name="Normal 3 2 3 2 6 3 2" xfId="15917" xr:uid="{93F098A7-4FDF-40E7-A0D9-63D05C36466F}"/>
    <cellStyle name="Normal 3 2 3 2 6 4" xfId="11612" xr:uid="{56261058-2C03-4285-889B-4CD28C30EF54}"/>
    <cellStyle name="Normal 3 2 3 2 7" xfId="2456" xr:uid="{00000000-0005-0000-0000-0000BF090000}"/>
    <cellStyle name="Normal 3 2 3 2 7 2" xfId="6739" xr:uid="{00000000-0005-0000-0000-00007A1A0000}"/>
    <cellStyle name="Normal 3 2 3 2 7 2 2" xfId="16330" xr:uid="{8DFE5DCC-66A6-4998-90B3-DC37224E8DF9}"/>
    <cellStyle name="Normal 3 2 3 2 7 3" xfId="12048" xr:uid="{56B0F4C7-5AF0-4A71-A854-B42B63221D13}"/>
    <cellStyle name="Normal 3 2 3 2 8" xfId="4673" xr:uid="{00000000-0005-0000-0000-000068120000}"/>
    <cellStyle name="Normal 3 2 3 2 8 2" xfId="14264" xr:uid="{944DFFAD-F062-4E8C-863C-64B0100E8E20}"/>
    <cellStyle name="Normal 3 2 3 2 9" xfId="8881" xr:uid="{00000000-0005-0000-0000-0000D8220000}"/>
    <cellStyle name="Normal 3 2 3 3" xfId="293" xr:uid="{00000000-0005-0000-0000-000049010000}"/>
    <cellStyle name="Normal 3 2 3 3 2" xfId="775" xr:uid="{00000000-0005-0000-0000-00002E030000}"/>
    <cellStyle name="Normal 3 2 3 3 2 2" xfId="3012" xr:uid="{00000000-0005-0000-0000-0000EB0B0000}"/>
    <cellStyle name="Normal 3 2 3 3 2 2 2" xfId="7234" xr:uid="{00000000-0005-0000-0000-0000691C0000}"/>
    <cellStyle name="Normal 3 2 3 3 2 2 2 2" xfId="16825" xr:uid="{BEBF430C-4070-4303-97D5-D5656D394271}"/>
    <cellStyle name="Normal 3 2 3 3 2 2 3" xfId="12604" xr:uid="{21DA32BB-7B1E-4911-A64E-71223715D86E}"/>
    <cellStyle name="Normal 3 2 3 3 2 3" xfId="5089" xr:uid="{00000000-0005-0000-0000-000008140000}"/>
    <cellStyle name="Normal 3 2 3 3 2 3 2" xfId="14680" xr:uid="{22465BFB-1DBD-4BFD-8242-FABCCF3E8A0E}"/>
    <cellStyle name="Normal 3 2 3 3 2 4" xfId="9410" xr:uid="{00000000-0005-0000-0000-0000E9240000}"/>
    <cellStyle name="Normal 3 2 3 3 2 5" xfId="10368" xr:uid="{ED6421C7-8F0B-430F-BDD1-54838AC55445}"/>
    <cellStyle name="Normal 3 2 3 3 3" xfId="1195" xr:uid="{00000000-0005-0000-0000-0000D2040000}"/>
    <cellStyle name="Normal 3 2 3 3 3 2" xfId="3425" xr:uid="{00000000-0005-0000-0000-0000880D0000}"/>
    <cellStyle name="Normal 3 2 3 3 3 2 2" xfId="7647" xr:uid="{00000000-0005-0000-0000-0000061E0000}"/>
    <cellStyle name="Normal 3 2 3 3 3 2 2 2" xfId="17238" xr:uid="{DCAA7F66-EF9C-4A54-9AFA-80AB3522BE3A}"/>
    <cellStyle name="Normal 3 2 3 3 3 2 3" xfId="13017" xr:uid="{4A3475E9-EA9B-46F4-8123-2E7164D2C774}"/>
    <cellStyle name="Normal 3 2 3 3 3 3" xfId="5502" xr:uid="{00000000-0005-0000-0000-0000A5150000}"/>
    <cellStyle name="Normal 3 2 3 3 3 3 2" xfId="15093" xr:uid="{5FD234DA-6A9B-4AAD-A45B-B270FAE34903}"/>
    <cellStyle name="Normal 3 2 3 3 3 4" xfId="10788" xr:uid="{7261D215-E3D2-4154-9451-2387E03D14DF}"/>
    <cellStyle name="Normal 3 2 3 3 4" xfId="1608" xr:uid="{00000000-0005-0000-0000-00006F060000}"/>
    <cellStyle name="Normal 3 2 3 3 4 2" xfId="3838" xr:uid="{00000000-0005-0000-0000-0000250F0000}"/>
    <cellStyle name="Normal 3 2 3 3 4 2 2" xfId="8060" xr:uid="{00000000-0005-0000-0000-0000A31F0000}"/>
    <cellStyle name="Normal 3 2 3 3 4 2 2 2" xfId="17651" xr:uid="{5C7E2D1D-4542-47B5-816F-581AACB76173}"/>
    <cellStyle name="Normal 3 2 3 3 4 2 3" xfId="13430" xr:uid="{DA6AC613-5004-4393-80BF-8A8ECAE473FC}"/>
    <cellStyle name="Normal 3 2 3 3 4 3" xfId="5915" xr:uid="{00000000-0005-0000-0000-000042170000}"/>
    <cellStyle name="Normal 3 2 3 3 4 3 2" xfId="15506" xr:uid="{D07F5F96-32CC-471E-A942-3B7D080CADBF}"/>
    <cellStyle name="Normal 3 2 3 3 4 4" xfId="11201" xr:uid="{FA923339-2951-4576-99D8-6D22839240FC}"/>
    <cellStyle name="Normal 3 2 3 3 5" xfId="2022" xr:uid="{00000000-0005-0000-0000-00000D080000}"/>
    <cellStyle name="Normal 3 2 3 3 5 2" xfId="4251" xr:uid="{00000000-0005-0000-0000-0000C2100000}"/>
    <cellStyle name="Normal 3 2 3 3 5 2 2" xfId="8473" xr:uid="{00000000-0005-0000-0000-000040210000}"/>
    <cellStyle name="Normal 3 2 3 3 5 2 2 2" xfId="18064" xr:uid="{61AFEB2F-FA41-49AD-9879-B45B861C8FD2}"/>
    <cellStyle name="Normal 3 2 3 3 5 2 3" xfId="13843" xr:uid="{09A6DD3A-1350-4E57-A669-5A2CA8CF2247}"/>
    <cellStyle name="Normal 3 2 3 3 5 3" xfId="6328" xr:uid="{00000000-0005-0000-0000-0000DF180000}"/>
    <cellStyle name="Normal 3 2 3 3 5 3 2" xfId="15919" xr:uid="{1E237AF2-655C-442C-8694-548A8ACA590A}"/>
    <cellStyle name="Normal 3 2 3 3 5 4" xfId="11614" xr:uid="{331525B1-8A10-4963-9F6A-4B15B545129B}"/>
    <cellStyle name="Normal 3 2 3 3 6" xfId="2458" xr:uid="{00000000-0005-0000-0000-0000C1090000}"/>
    <cellStyle name="Normal 3 2 3 3 6 2" xfId="6741" xr:uid="{00000000-0005-0000-0000-00007C1A0000}"/>
    <cellStyle name="Normal 3 2 3 3 6 2 2" xfId="16332" xr:uid="{8A578D42-F118-49B8-860A-7F31329EA72C}"/>
    <cellStyle name="Normal 3 2 3 3 6 3" xfId="12050" xr:uid="{DBBEF836-1838-44DE-9273-6D32B53877BB}"/>
    <cellStyle name="Normal 3 2 3 3 7" xfId="4675" xr:uid="{00000000-0005-0000-0000-00006A120000}"/>
    <cellStyle name="Normal 3 2 3 3 7 2" xfId="14266" xr:uid="{AADDB4E8-4F89-4465-BF80-FD5AB5B48F42}"/>
    <cellStyle name="Normal 3 2 3 3 8" xfId="8985" xr:uid="{00000000-0005-0000-0000-000040230000}"/>
    <cellStyle name="Normal 3 2 3 3 9" xfId="9896" xr:uid="{F3AB44E0-54A0-4FFD-8659-C36A49D4F853}"/>
    <cellStyle name="Normal 3 2 3 4" xfId="772" xr:uid="{00000000-0005-0000-0000-00002B030000}"/>
    <cellStyle name="Normal 3 2 3 4 2" xfId="3009" xr:uid="{00000000-0005-0000-0000-0000E80B0000}"/>
    <cellStyle name="Normal 3 2 3 4 2 2" xfId="7231" xr:uid="{00000000-0005-0000-0000-0000661C0000}"/>
    <cellStyle name="Normal 3 2 3 4 2 2 2" xfId="16822" xr:uid="{B9982298-2485-4C54-BAB7-0F9A20770F64}"/>
    <cellStyle name="Normal 3 2 3 4 2 3" xfId="12601" xr:uid="{3C2BCDE7-F3AB-4A53-A393-93DD174FD19B}"/>
    <cellStyle name="Normal 3 2 3 4 3" xfId="5086" xr:uid="{00000000-0005-0000-0000-000005140000}"/>
    <cellStyle name="Normal 3 2 3 4 3 2" xfId="14677" xr:uid="{30EDB612-5F6D-462F-98EF-B88467A366FD}"/>
    <cellStyle name="Normal 3 2 3 4 4" xfId="9203" xr:uid="{00000000-0005-0000-0000-00001A240000}"/>
    <cellStyle name="Normal 3 2 3 4 5" xfId="10365" xr:uid="{B1269D8F-9B1E-48AE-B8B5-03F9C20B8772}"/>
    <cellStyle name="Normal 3 2 3 5" xfId="1192" xr:uid="{00000000-0005-0000-0000-0000CF040000}"/>
    <cellStyle name="Normal 3 2 3 5 2" xfId="3422" xr:uid="{00000000-0005-0000-0000-0000850D0000}"/>
    <cellStyle name="Normal 3 2 3 5 2 2" xfId="7644" xr:uid="{00000000-0005-0000-0000-0000031E0000}"/>
    <cellStyle name="Normal 3 2 3 5 2 2 2" xfId="17235" xr:uid="{E6FA1A1D-BD0B-4D78-ADA2-CA9B4F3720D2}"/>
    <cellStyle name="Normal 3 2 3 5 2 3" xfId="13014" xr:uid="{13B01716-3851-451C-AD09-751BDCAC40FE}"/>
    <cellStyle name="Normal 3 2 3 5 3" xfId="5499" xr:uid="{00000000-0005-0000-0000-0000A2150000}"/>
    <cellStyle name="Normal 3 2 3 5 3 2" xfId="15090" xr:uid="{91AE7481-5438-4923-8DF5-AD955251BECF}"/>
    <cellStyle name="Normal 3 2 3 5 4" xfId="10785" xr:uid="{6524D453-419D-42F2-87D2-D872BCDB93DE}"/>
    <cellStyle name="Normal 3 2 3 6" xfId="1605" xr:uid="{00000000-0005-0000-0000-00006C060000}"/>
    <cellStyle name="Normal 3 2 3 6 2" xfId="3835" xr:uid="{00000000-0005-0000-0000-0000220F0000}"/>
    <cellStyle name="Normal 3 2 3 6 2 2" xfId="8057" xr:uid="{00000000-0005-0000-0000-0000A01F0000}"/>
    <cellStyle name="Normal 3 2 3 6 2 2 2" xfId="17648" xr:uid="{46C9AAD3-6F80-4AED-849A-95E1546FE63C}"/>
    <cellStyle name="Normal 3 2 3 6 2 3" xfId="13427" xr:uid="{DE0C851D-252F-443C-82A6-A916F47EE045}"/>
    <cellStyle name="Normal 3 2 3 6 3" xfId="5912" xr:uid="{00000000-0005-0000-0000-00003F170000}"/>
    <cellStyle name="Normal 3 2 3 6 3 2" xfId="15503" xr:uid="{C01E1B37-051B-4B95-AB2F-A1AC92FD990C}"/>
    <cellStyle name="Normal 3 2 3 6 4" xfId="11198" xr:uid="{859E198B-8899-4191-8EC1-D28BEEDE6D0F}"/>
    <cellStyle name="Normal 3 2 3 7" xfId="2019" xr:uid="{00000000-0005-0000-0000-00000A080000}"/>
    <cellStyle name="Normal 3 2 3 7 2" xfId="4248" xr:uid="{00000000-0005-0000-0000-0000BF100000}"/>
    <cellStyle name="Normal 3 2 3 7 2 2" xfId="8470" xr:uid="{00000000-0005-0000-0000-00003D210000}"/>
    <cellStyle name="Normal 3 2 3 7 2 2 2" xfId="18061" xr:uid="{8607026B-75D0-4913-8907-2CA3BD0C443C}"/>
    <cellStyle name="Normal 3 2 3 7 2 3" xfId="13840" xr:uid="{9D005758-10FB-465C-A5F5-49B4DE717FF8}"/>
    <cellStyle name="Normal 3 2 3 7 3" xfId="6325" xr:uid="{00000000-0005-0000-0000-0000DC180000}"/>
    <cellStyle name="Normal 3 2 3 7 3 2" xfId="15916" xr:uid="{70701BAC-2A05-4810-9730-4658BADCD48E}"/>
    <cellStyle name="Normal 3 2 3 7 4" xfId="11611" xr:uid="{3871253F-AF7D-473F-A907-9DBD4C0E1659}"/>
    <cellStyle name="Normal 3 2 3 8" xfId="2455" xr:uid="{00000000-0005-0000-0000-0000BE090000}"/>
    <cellStyle name="Normal 3 2 3 8 2" xfId="6738" xr:uid="{00000000-0005-0000-0000-0000791A0000}"/>
    <cellStyle name="Normal 3 2 3 8 2 2" xfId="16329" xr:uid="{80CFDDB7-3CAF-4BC1-94A2-B1F008EE5A7C}"/>
    <cellStyle name="Normal 3 2 3 8 3" xfId="12047" xr:uid="{1C5008ED-EEDE-47A6-B50B-7CDAF2B3C004}"/>
    <cellStyle name="Normal 3 2 3 9" xfId="4672" xr:uid="{00000000-0005-0000-0000-000067120000}"/>
    <cellStyle name="Normal 3 2 3 9 2" xfId="14263" xr:uid="{33647B1E-CD42-4C36-8EFC-CCE080A1D9B8}"/>
    <cellStyle name="Normal 3 2 4" xfId="770" xr:uid="{00000000-0005-0000-0000-000029030000}"/>
    <cellStyle name="Normal 3 2 4 2" xfId="3008" xr:uid="{00000000-0005-0000-0000-0000E70B0000}"/>
    <cellStyle name="Normal 3 2 4 2 2" xfId="7230" xr:uid="{00000000-0005-0000-0000-0000651C0000}"/>
    <cellStyle name="Normal 3 2 4 2 2 2" xfId="16821" xr:uid="{8F36848D-8B1B-493D-A669-798DF6418E62}"/>
    <cellStyle name="Normal 3 2 4 2 3" xfId="12600" xr:uid="{4FCDE6D7-24AC-4767-9DF4-7F6FBD8DB727}"/>
    <cellStyle name="Normal 3 2 4 3" xfId="5085" xr:uid="{00000000-0005-0000-0000-000004140000}"/>
    <cellStyle name="Normal 3 2 4 3 2" xfId="14676" xr:uid="{0D685AF0-2F67-4CC7-A4A3-E559C413F669}"/>
    <cellStyle name="Normal 3 2 4 4" xfId="9568" xr:uid="{00000000-0005-0000-0000-000087250000}"/>
    <cellStyle name="Normal 3 2 4 5" xfId="10363" xr:uid="{9FD1C62C-7911-4259-8B2B-D009EA510893}"/>
    <cellStyle name="Normal 3 2 5" xfId="1191" xr:uid="{00000000-0005-0000-0000-0000CE040000}"/>
    <cellStyle name="Normal 3 2 5 2" xfId="3421" xr:uid="{00000000-0005-0000-0000-0000840D0000}"/>
    <cellStyle name="Normal 3 2 5 2 2" xfId="7643" xr:uid="{00000000-0005-0000-0000-0000021E0000}"/>
    <cellStyle name="Normal 3 2 5 2 2 2" xfId="17234" xr:uid="{E08C36B1-7E65-481F-AF28-C0C0D34FC693}"/>
    <cellStyle name="Normal 3 2 5 2 3" xfId="13013" xr:uid="{26457181-3D27-4CFB-857A-1FA76F89A13F}"/>
    <cellStyle name="Normal 3 2 5 3" xfId="5498" xr:uid="{00000000-0005-0000-0000-0000A1150000}"/>
    <cellStyle name="Normal 3 2 5 3 2" xfId="15089" xr:uid="{6718ED49-546F-4F34-8138-5EBEB5400468}"/>
    <cellStyle name="Normal 3 2 5 4" xfId="10784" xr:uid="{E197C11B-0DD1-44BB-AE8A-74FEF55DC059}"/>
    <cellStyle name="Normal 3 2 6" xfId="1604" xr:uid="{00000000-0005-0000-0000-00006B060000}"/>
    <cellStyle name="Normal 3 2 6 2" xfId="3834" xr:uid="{00000000-0005-0000-0000-0000210F0000}"/>
    <cellStyle name="Normal 3 2 6 2 2" xfId="8056" xr:uid="{00000000-0005-0000-0000-00009F1F0000}"/>
    <cellStyle name="Normal 3 2 6 2 2 2" xfId="17647" xr:uid="{2577851F-AEF7-4BBF-B5D4-F073AE4920A6}"/>
    <cellStyle name="Normal 3 2 6 2 3" xfId="13426" xr:uid="{94914D1F-5030-4045-8E99-AEF17617D736}"/>
    <cellStyle name="Normal 3 2 6 3" xfId="5911" xr:uid="{00000000-0005-0000-0000-00003E170000}"/>
    <cellStyle name="Normal 3 2 6 3 2" xfId="15502" xr:uid="{DF1FCBBF-C839-4F4D-8FCC-7BA228AD24C9}"/>
    <cellStyle name="Normal 3 2 6 4" xfId="11197" xr:uid="{E3CEBDBD-7A6F-4846-B25C-3F4807950437}"/>
    <cellStyle name="Normal 3 2 7" xfId="2018" xr:uid="{00000000-0005-0000-0000-000009080000}"/>
    <cellStyle name="Normal 3 2 7 2" xfId="4247" xr:uid="{00000000-0005-0000-0000-0000BE100000}"/>
    <cellStyle name="Normal 3 2 7 2 2" xfId="8469" xr:uid="{00000000-0005-0000-0000-00003C210000}"/>
    <cellStyle name="Normal 3 2 7 2 2 2" xfId="18060" xr:uid="{1BED92FF-5443-490F-9D23-E1C4EECC2390}"/>
    <cellStyle name="Normal 3 2 7 2 3" xfId="13839" xr:uid="{DF428418-EC4C-4323-B668-90AA30C5D134}"/>
    <cellStyle name="Normal 3 2 7 3" xfId="6324" xr:uid="{00000000-0005-0000-0000-0000DB180000}"/>
    <cellStyle name="Normal 3 2 7 3 2" xfId="15915" xr:uid="{F2CD4C47-62C7-48F4-B130-C55E044DFBE1}"/>
    <cellStyle name="Normal 3 2 7 4" xfId="11610" xr:uid="{F19EC43F-0107-4280-A922-0B4B51805F60}"/>
    <cellStyle name="Normal 3 2 8" xfId="2454" xr:uid="{00000000-0005-0000-0000-0000BD090000}"/>
    <cellStyle name="Normal 3 2 8 2" xfId="6737" xr:uid="{00000000-0005-0000-0000-0000781A0000}"/>
    <cellStyle name="Normal 3 2 8 2 2" xfId="16328" xr:uid="{26CC9192-CF2D-421C-BF6A-99347920A75A}"/>
    <cellStyle name="Normal 3 2 8 3" xfId="12046" xr:uid="{7FA98163-A059-4E6A-934F-09908772E116}"/>
    <cellStyle name="Normal 3 2 9" xfId="4671" xr:uid="{00000000-0005-0000-0000-000066120000}"/>
    <cellStyle name="Normal 3 2 9 2" xfId="14262" xr:uid="{D56A3000-7DBB-4353-AC74-BE105B1C5D6A}"/>
    <cellStyle name="Normal 3 3" xfId="294" xr:uid="{00000000-0005-0000-0000-00004A010000}"/>
    <cellStyle name="Normal 3 3 2" xfId="295" xr:uid="{00000000-0005-0000-0000-00004B010000}"/>
    <cellStyle name="Normal 3 3 2 2" xfId="9897" xr:uid="{9ED9A93D-7C0C-459E-A8BD-D7EB6BE75D3C}"/>
    <cellStyle name="Normal 3 3 3" xfId="296" xr:uid="{00000000-0005-0000-0000-00004C010000}"/>
    <cellStyle name="Normal 3 4" xfId="297" xr:uid="{00000000-0005-0000-0000-00004D010000}"/>
    <cellStyle name="Normal 3 4 2" xfId="9898" xr:uid="{335CF316-71CA-4B54-A038-4808B3C4904E}"/>
    <cellStyle name="Normal 3 5" xfId="298" xr:uid="{00000000-0005-0000-0000-00004E010000}"/>
    <cellStyle name="Normal 3 5 2" xfId="9899" xr:uid="{2B7017AF-ADE1-400A-BDD7-72BA6D38A812}"/>
    <cellStyle name="Normal 3 6" xfId="769" xr:uid="{00000000-0005-0000-0000-000028030000}"/>
    <cellStyle name="Normal 3 6 2" xfId="10362" xr:uid="{4EB5E6FB-011F-4785-9C8C-866BE5DC49D9}"/>
    <cellStyle name="Normal 3 7" xfId="9890" xr:uid="{6EB2690B-74A2-406D-ACC1-337196A25BD9}"/>
    <cellStyle name="Normal 4" xfId="299" xr:uid="{00000000-0005-0000-0000-00004F010000}"/>
    <cellStyle name="Normal 4 10" xfId="8701" xr:uid="{00000000-0005-0000-0000-000024220000}"/>
    <cellStyle name="Normal 4 11" xfId="9900" xr:uid="{EC6B6FC1-CF8B-4D12-9D44-DF6582D3A3D7}"/>
    <cellStyle name="Normal 4 2" xfId="300" xr:uid="{00000000-0005-0000-0000-000050010000}"/>
    <cellStyle name="Normal 4 2 2" xfId="301" xr:uid="{00000000-0005-0000-0000-000051010000}"/>
    <cellStyle name="Normal 4 2 2 10" xfId="2023" xr:uid="{00000000-0005-0000-0000-00000E080000}"/>
    <cellStyle name="Normal 4 2 2 10 2" xfId="4252" xr:uid="{00000000-0005-0000-0000-0000C3100000}"/>
    <cellStyle name="Normal 4 2 2 10 2 2" xfId="8474" xr:uid="{00000000-0005-0000-0000-000041210000}"/>
    <cellStyle name="Normal 4 2 2 10 2 2 2" xfId="18065" xr:uid="{6A1AAA4A-AAF0-4E38-A9E8-60C48E04C45B}"/>
    <cellStyle name="Normal 4 2 2 10 2 3" xfId="13844" xr:uid="{22FC3AB4-C226-4506-9D75-9EDDA88BBA17}"/>
    <cellStyle name="Normal 4 2 2 10 3" xfId="6329" xr:uid="{00000000-0005-0000-0000-0000E0180000}"/>
    <cellStyle name="Normal 4 2 2 10 3 2" xfId="15920" xr:uid="{0ACD3F44-4BD8-4F89-A9AA-50C1CB6C7F81}"/>
    <cellStyle name="Normal 4 2 2 10 4" xfId="11615" xr:uid="{057C0DF8-06EE-4501-A2EB-5A98A3CAF321}"/>
    <cellStyle name="Normal 4 2 2 11" xfId="2459" xr:uid="{00000000-0005-0000-0000-0000C2090000}"/>
    <cellStyle name="Normal 4 2 2 11 2" xfId="6742" xr:uid="{00000000-0005-0000-0000-00007D1A0000}"/>
    <cellStyle name="Normal 4 2 2 11 2 2" xfId="16333" xr:uid="{205A311C-DC50-4405-9DCB-CD95558FD453}"/>
    <cellStyle name="Normal 4 2 2 11 3" xfId="12051" xr:uid="{F085B362-DED0-4E1E-8DDD-5D0D1AEE4B4B}"/>
    <cellStyle name="Normal 4 2 2 12" xfId="4677" xr:uid="{00000000-0005-0000-0000-00006C120000}"/>
    <cellStyle name="Normal 4 2 2 12 2" xfId="14268" xr:uid="{CC189084-7E03-4606-A9EB-A1BC1C69648C}"/>
    <cellStyle name="Normal 4 2 2 13" xfId="8713" xr:uid="{00000000-0005-0000-0000-000030220000}"/>
    <cellStyle name="Normal 4 2 2 14" xfId="9901" xr:uid="{DBEE1E8E-21DD-4795-84E1-D063DFACE840}"/>
    <cellStyle name="Normal 4 2 2 2" xfId="302" xr:uid="{00000000-0005-0000-0000-000052010000}"/>
    <cellStyle name="Normal 4 2 2 2 2" xfId="9902" xr:uid="{8859EEC7-4048-4C65-B314-13E4CEF54F5E}"/>
    <cellStyle name="Normal 4 2 2 3" xfId="303" xr:uid="{00000000-0005-0000-0000-000053010000}"/>
    <cellStyle name="Normal 4 2 2 3 10" xfId="4678" xr:uid="{00000000-0005-0000-0000-00006D120000}"/>
    <cellStyle name="Normal 4 2 2 3 10 2" xfId="14269" xr:uid="{108EFE21-EFC2-420B-A69A-FF67E46AAECA}"/>
    <cellStyle name="Normal 4 2 2 3 11" xfId="8745" xr:uid="{00000000-0005-0000-0000-000050220000}"/>
    <cellStyle name="Normal 4 2 2 3 12" xfId="9903" xr:uid="{F53D8FAD-C61E-4DD8-A032-8762B08A5F14}"/>
    <cellStyle name="Normal 4 2 2 3 2" xfId="304" xr:uid="{00000000-0005-0000-0000-000054010000}"/>
    <cellStyle name="Normal 4 2 2 3 2 10" xfId="8780" xr:uid="{00000000-0005-0000-0000-000073220000}"/>
    <cellStyle name="Normal 4 2 2 3 2 11" xfId="9904" xr:uid="{4B19BF6D-6FC4-4EAB-9D3E-04FBA2F0D310}"/>
    <cellStyle name="Normal 4 2 2 3 2 2" xfId="305" xr:uid="{00000000-0005-0000-0000-000055010000}"/>
    <cellStyle name="Normal 4 2 2 3 2 2 10" xfId="9905" xr:uid="{6E6FA9DB-D338-40B4-AC28-E879A44D04C7}"/>
    <cellStyle name="Normal 4 2 2 3 2 2 2" xfId="306" xr:uid="{00000000-0005-0000-0000-000056010000}"/>
    <cellStyle name="Normal 4 2 2 3 2 2 2 2" xfId="780" xr:uid="{00000000-0005-0000-0000-000033030000}"/>
    <cellStyle name="Normal 4 2 2 3 2 2 2 2 2" xfId="3017" xr:uid="{00000000-0005-0000-0000-0000F00B0000}"/>
    <cellStyle name="Normal 4 2 2 3 2 2 2 2 2 2" xfId="7239" xr:uid="{00000000-0005-0000-0000-00006E1C0000}"/>
    <cellStyle name="Normal 4 2 2 3 2 2 2 2 2 2 2" xfId="16830" xr:uid="{730CDE5E-017E-48A4-9123-4C7B4BD7CEF4}"/>
    <cellStyle name="Normal 4 2 2 3 2 2 2 2 2 3" xfId="12609" xr:uid="{D5E8263A-CAAE-487E-A7CF-AD1171A35B71}"/>
    <cellStyle name="Normal 4 2 2 3 2 2 2 2 3" xfId="5094" xr:uid="{00000000-0005-0000-0000-00000D140000}"/>
    <cellStyle name="Normal 4 2 2 3 2 2 2 2 3 2" xfId="14685" xr:uid="{3AC302CB-AFF2-4289-B851-ED6CA1CC6D75}"/>
    <cellStyle name="Normal 4 2 2 3 2 2 2 2 4" xfId="9515" xr:uid="{00000000-0005-0000-0000-000052250000}"/>
    <cellStyle name="Normal 4 2 2 3 2 2 2 2 5" xfId="10373" xr:uid="{F3D5FD09-C2FF-4EB6-A9BE-20ECEDA68A23}"/>
    <cellStyle name="Normal 4 2 2 3 2 2 2 3" xfId="1200" xr:uid="{00000000-0005-0000-0000-0000D7040000}"/>
    <cellStyle name="Normal 4 2 2 3 2 2 2 3 2" xfId="3430" xr:uid="{00000000-0005-0000-0000-00008D0D0000}"/>
    <cellStyle name="Normal 4 2 2 3 2 2 2 3 2 2" xfId="7652" xr:uid="{00000000-0005-0000-0000-00000B1E0000}"/>
    <cellStyle name="Normal 4 2 2 3 2 2 2 3 2 2 2" xfId="17243" xr:uid="{97E0E58A-74B3-4604-9654-692A4CF3D021}"/>
    <cellStyle name="Normal 4 2 2 3 2 2 2 3 2 3" xfId="13022" xr:uid="{14F81931-908D-4DB1-82E9-46728423F3A1}"/>
    <cellStyle name="Normal 4 2 2 3 2 2 2 3 3" xfId="5507" xr:uid="{00000000-0005-0000-0000-0000AA150000}"/>
    <cellStyle name="Normal 4 2 2 3 2 2 2 3 3 2" xfId="15098" xr:uid="{004651DE-F443-4470-A7BB-D187F31F5106}"/>
    <cellStyle name="Normal 4 2 2 3 2 2 2 3 4" xfId="10793" xr:uid="{5E770E98-C8A0-4A44-A2F6-ADB11FF02160}"/>
    <cellStyle name="Normal 4 2 2 3 2 2 2 4" xfId="1613" xr:uid="{00000000-0005-0000-0000-000074060000}"/>
    <cellStyle name="Normal 4 2 2 3 2 2 2 4 2" xfId="3843" xr:uid="{00000000-0005-0000-0000-00002A0F0000}"/>
    <cellStyle name="Normal 4 2 2 3 2 2 2 4 2 2" xfId="8065" xr:uid="{00000000-0005-0000-0000-0000A81F0000}"/>
    <cellStyle name="Normal 4 2 2 3 2 2 2 4 2 2 2" xfId="17656" xr:uid="{455848FB-F81A-4C07-AF54-5889C49D1436}"/>
    <cellStyle name="Normal 4 2 2 3 2 2 2 4 2 3" xfId="13435" xr:uid="{F5BCE9A1-F715-4394-82AC-845AD2C6621D}"/>
    <cellStyle name="Normal 4 2 2 3 2 2 2 4 3" xfId="5920" xr:uid="{00000000-0005-0000-0000-000047170000}"/>
    <cellStyle name="Normal 4 2 2 3 2 2 2 4 3 2" xfId="15511" xr:uid="{06808E37-7624-4ECC-89AC-BDB5B6F38AA7}"/>
    <cellStyle name="Normal 4 2 2 3 2 2 2 4 4" xfId="11206" xr:uid="{6A6403B6-1387-4E84-A8D2-91FC80FFDC68}"/>
    <cellStyle name="Normal 4 2 2 3 2 2 2 5" xfId="2027" xr:uid="{00000000-0005-0000-0000-000012080000}"/>
    <cellStyle name="Normal 4 2 2 3 2 2 2 5 2" xfId="4256" xr:uid="{00000000-0005-0000-0000-0000C7100000}"/>
    <cellStyle name="Normal 4 2 2 3 2 2 2 5 2 2" xfId="8478" xr:uid="{00000000-0005-0000-0000-000045210000}"/>
    <cellStyle name="Normal 4 2 2 3 2 2 2 5 2 2 2" xfId="18069" xr:uid="{4A539A0E-B854-4D39-AA89-8A79A5DD63BC}"/>
    <cellStyle name="Normal 4 2 2 3 2 2 2 5 2 3" xfId="13848" xr:uid="{5DC8081D-C95D-465C-A9CC-ED2984E28A85}"/>
    <cellStyle name="Normal 4 2 2 3 2 2 2 5 3" xfId="6333" xr:uid="{00000000-0005-0000-0000-0000E4180000}"/>
    <cellStyle name="Normal 4 2 2 3 2 2 2 5 3 2" xfId="15924" xr:uid="{3CBFF6AD-81AF-409D-84AE-0C093F36D02D}"/>
    <cellStyle name="Normal 4 2 2 3 2 2 2 5 4" xfId="11619" xr:uid="{BF75431E-CA5A-415C-A4B8-68296035F46A}"/>
    <cellStyle name="Normal 4 2 2 3 2 2 2 6" xfId="2463" xr:uid="{00000000-0005-0000-0000-0000C6090000}"/>
    <cellStyle name="Normal 4 2 2 3 2 2 2 6 2" xfId="6746" xr:uid="{00000000-0005-0000-0000-0000811A0000}"/>
    <cellStyle name="Normal 4 2 2 3 2 2 2 6 2 2" xfId="16337" xr:uid="{9761FD98-652F-4BE4-910E-430AF4DB6376}"/>
    <cellStyle name="Normal 4 2 2 3 2 2 2 6 3" xfId="12055" xr:uid="{ACAB823C-07DE-48BE-B765-69B8D073AA4A}"/>
    <cellStyle name="Normal 4 2 2 3 2 2 2 7" xfId="4681" xr:uid="{00000000-0005-0000-0000-000070120000}"/>
    <cellStyle name="Normal 4 2 2 3 2 2 2 7 2" xfId="14272" xr:uid="{CCFC491E-9605-459A-A98C-B85B735AE118}"/>
    <cellStyle name="Normal 4 2 2 3 2 2 2 8" xfId="9090" xr:uid="{00000000-0005-0000-0000-0000A9230000}"/>
    <cellStyle name="Normal 4 2 2 3 2 2 2 9" xfId="9906" xr:uid="{5200A532-A3A2-4B1F-A184-AAD77E72BC49}"/>
    <cellStyle name="Normal 4 2 2 3 2 2 3" xfId="779" xr:uid="{00000000-0005-0000-0000-000032030000}"/>
    <cellStyle name="Normal 4 2 2 3 2 2 3 2" xfId="3016" xr:uid="{00000000-0005-0000-0000-0000EF0B0000}"/>
    <cellStyle name="Normal 4 2 2 3 2 2 3 2 2" xfId="7238" xr:uid="{00000000-0005-0000-0000-00006D1C0000}"/>
    <cellStyle name="Normal 4 2 2 3 2 2 3 2 2 2" xfId="16829" xr:uid="{2DB66645-A317-48CE-AE96-0BF509CD3C82}"/>
    <cellStyle name="Normal 4 2 2 3 2 2 3 2 3" xfId="12608" xr:uid="{31CD736C-3C4C-4840-8F62-ABD49E9E527B}"/>
    <cellStyle name="Normal 4 2 2 3 2 2 3 3" xfId="5093" xr:uid="{00000000-0005-0000-0000-00000C140000}"/>
    <cellStyle name="Normal 4 2 2 3 2 2 3 3 2" xfId="14684" xr:uid="{DC8EFC84-0C7C-47CF-8A92-ACAD86CBB1F0}"/>
    <cellStyle name="Normal 4 2 2 3 2 2 3 4" xfId="9308" xr:uid="{00000000-0005-0000-0000-000083240000}"/>
    <cellStyle name="Normal 4 2 2 3 2 2 3 5" xfId="10372" xr:uid="{65DF1B61-B2CB-41F8-B438-2852E064F584}"/>
    <cellStyle name="Normal 4 2 2 3 2 2 4" xfId="1199" xr:uid="{00000000-0005-0000-0000-0000D6040000}"/>
    <cellStyle name="Normal 4 2 2 3 2 2 4 2" xfId="3429" xr:uid="{00000000-0005-0000-0000-00008C0D0000}"/>
    <cellStyle name="Normal 4 2 2 3 2 2 4 2 2" xfId="7651" xr:uid="{00000000-0005-0000-0000-00000A1E0000}"/>
    <cellStyle name="Normal 4 2 2 3 2 2 4 2 2 2" xfId="17242" xr:uid="{88132389-98F1-4BD1-B36C-585CF3E943CC}"/>
    <cellStyle name="Normal 4 2 2 3 2 2 4 2 3" xfId="13021" xr:uid="{13C7B256-F156-4F03-B165-E63FAA4A8E30}"/>
    <cellStyle name="Normal 4 2 2 3 2 2 4 3" xfId="5506" xr:uid="{00000000-0005-0000-0000-0000A9150000}"/>
    <cellStyle name="Normal 4 2 2 3 2 2 4 3 2" xfId="15097" xr:uid="{B4906288-78EB-4A96-B315-62F3371981EA}"/>
    <cellStyle name="Normal 4 2 2 3 2 2 4 4" xfId="10792" xr:uid="{A65B9295-1550-4A80-8F5F-3699CE26A9B1}"/>
    <cellStyle name="Normal 4 2 2 3 2 2 5" xfId="1612" xr:uid="{00000000-0005-0000-0000-000073060000}"/>
    <cellStyle name="Normal 4 2 2 3 2 2 5 2" xfId="3842" xr:uid="{00000000-0005-0000-0000-0000290F0000}"/>
    <cellStyle name="Normal 4 2 2 3 2 2 5 2 2" xfId="8064" xr:uid="{00000000-0005-0000-0000-0000A71F0000}"/>
    <cellStyle name="Normal 4 2 2 3 2 2 5 2 2 2" xfId="17655" xr:uid="{9106C8C0-DE98-433D-B18E-F18DD5EC18D6}"/>
    <cellStyle name="Normal 4 2 2 3 2 2 5 2 3" xfId="13434" xr:uid="{EF8639FB-2BD7-4423-A70E-E30AE8599868}"/>
    <cellStyle name="Normal 4 2 2 3 2 2 5 3" xfId="5919" xr:uid="{00000000-0005-0000-0000-000046170000}"/>
    <cellStyle name="Normal 4 2 2 3 2 2 5 3 2" xfId="15510" xr:uid="{5F789442-0193-458B-8A93-C0FF67A90474}"/>
    <cellStyle name="Normal 4 2 2 3 2 2 5 4" xfId="11205" xr:uid="{0D45D200-A51D-4A32-A895-22E8797E8DC6}"/>
    <cellStyle name="Normal 4 2 2 3 2 2 6" xfId="2026" xr:uid="{00000000-0005-0000-0000-000011080000}"/>
    <cellStyle name="Normal 4 2 2 3 2 2 6 2" xfId="4255" xr:uid="{00000000-0005-0000-0000-0000C6100000}"/>
    <cellStyle name="Normal 4 2 2 3 2 2 6 2 2" xfId="8477" xr:uid="{00000000-0005-0000-0000-000044210000}"/>
    <cellStyle name="Normal 4 2 2 3 2 2 6 2 2 2" xfId="18068" xr:uid="{71CB92CB-760E-454D-8120-07F0CCF1934B}"/>
    <cellStyle name="Normal 4 2 2 3 2 2 6 2 3" xfId="13847" xr:uid="{486FE0A1-72EC-49D1-8915-260CF64F6CE2}"/>
    <cellStyle name="Normal 4 2 2 3 2 2 6 3" xfId="6332" xr:uid="{00000000-0005-0000-0000-0000E3180000}"/>
    <cellStyle name="Normal 4 2 2 3 2 2 6 3 2" xfId="15923" xr:uid="{2D39ED9E-E0C8-4C71-84DE-691F053C3CA1}"/>
    <cellStyle name="Normal 4 2 2 3 2 2 6 4" xfId="11618" xr:uid="{C02BFDFA-3955-4A7E-88CA-476CAAB13309}"/>
    <cellStyle name="Normal 4 2 2 3 2 2 7" xfId="2462" xr:uid="{00000000-0005-0000-0000-0000C5090000}"/>
    <cellStyle name="Normal 4 2 2 3 2 2 7 2" xfId="6745" xr:uid="{00000000-0005-0000-0000-0000801A0000}"/>
    <cellStyle name="Normal 4 2 2 3 2 2 7 2 2" xfId="16336" xr:uid="{56D4D521-2D95-4DE7-B04C-14C74D8D07B5}"/>
    <cellStyle name="Normal 4 2 2 3 2 2 7 3" xfId="12054" xr:uid="{F4E1F3EF-9CEE-44F4-B23E-980A46837DD4}"/>
    <cellStyle name="Normal 4 2 2 3 2 2 8" xfId="4680" xr:uid="{00000000-0005-0000-0000-00006F120000}"/>
    <cellStyle name="Normal 4 2 2 3 2 2 8 2" xfId="14271" xr:uid="{7A4F2270-C95F-4E60-8A18-743800892368}"/>
    <cellStyle name="Normal 4 2 2 3 2 2 9" xfId="8883" xr:uid="{00000000-0005-0000-0000-0000DA220000}"/>
    <cellStyle name="Normal 4 2 2 3 2 3" xfId="307" xr:uid="{00000000-0005-0000-0000-000057010000}"/>
    <cellStyle name="Normal 4 2 2 3 2 3 2" xfId="781" xr:uid="{00000000-0005-0000-0000-000034030000}"/>
    <cellStyle name="Normal 4 2 2 3 2 3 2 2" xfId="3018" xr:uid="{00000000-0005-0000-0000-0000F10B0000}"/>
    <cellStyle name="Normal 4 2 2 3 2 3 2 2 2" xfId="7240" xr:uid="{00000000-0005-0000-0000-00006F1C0000}"/>
    <cellStyle name="Normal 4 2 2 3 2 3 2 2 2 2" xfId="16831" xr:uid="{9BBA61B5-7757-4EA8-8431-F1238A089734}"/>
    <cellStyle name="Normal 4 2 2 3 2 3 2 2 3" xfId="12610" xr:uid="{B8706C0A-29D8-4F5E-B002-5B84E415091E}"/>
    <cellStyle name="Normal 4 2 2 3 2 3 2 3" xfId="5095" xr:uid="{00000000-0005-0000-0000-00000E140000}"/>
    <cellStyle name="Normal 4 2 2 3 2 3 2 3 2" xfId="14686" xr:uid="{9FCD8AFA-3857-4453-AAB0-4749F80EF7A8}"/>
    <cellStyle name="Normal 4 2 2 3 2 3 2 4" xfId="9412" xr:uid="{00000000-0005-0000-0000-0000EB240000}"/>
    <cellStyle name="Normal 4 2 2 3 2 3 2 5" xfId="10374" xr:uid="{249B1010-5395-4C3D-8215-BE3797356F41}"/>
    <cellStyle name="Normal 4 2 2 3 2 3 3" xfId="1201" xr:uid="{00000000-0005-0000-0000-0000D8040000}"/>
    <cellStyle name="Normal 4 2 2 3 2 3 3 2" xfId="3431" xr:uid="{00000000-0005-0000-0000-00008E0D0000}"/>
    <cellStyle name="Normal 4 2 2 3 2 3 3 2 2" xfId="7653" xr:uid="{00000000-0005-0000-0000-00000C1E0000}"/>
    <cellStyle name="Normal 4 2 2 3 2 3 3 2 2 2" xfId="17244" xr:uid="{AABB745C-E1BE-4D99-894B-CD195EA25C2A}"/>
    <cellStyle name="Normal 4 2 2 3 2 3 3 2 3" xfId="13023" xr:uid="{335AC8DC-E2DD-4A04-A348-7C2ED4197167}"/>
    <cellStyle name="Normal 4 2 2 3 2 3 3 3" xfId="5508" xr:uid="{00000000-0005-0000-0000-0000AB150000}"/>
    <cellStyle name="Normal 4 2 2 3 2 3 3 3 2" xfId="15099" xr:uid="{61696B9F-B15C-4A26-981A-89FFA5194515}"/>
    <cellStyle name="Normal 4 2 2 3 2 3 3 4" xfId="10794" xr:uid="{6BA11E5D-7CC1-4605-BF8F-3C63A6EC03D1}"/>
    <cellStyle name="Normal 4 2 2 3 2 3 4" xfId="1614" xr:uid="{00000000-0005-0000-0000-000075060000}"/>
    <cellStyle name="Normal 4 2 2 3 2 3 4 2" xfId="3844" xr:uid="{00000000-0005-0000-0000-00002B0F0000}"/>
    <cellStyle name="Normal 4 2 2 3 2 3 4 2 2" xfId="8066" xr:uid="{00000000-0005-0000-0000-0000A91F0000}"/>
    <cellStyle name="Normal 4 2 2 3 2 3 4 2 2 2" xfId="17657" xr:uid="{CA958E3C-93A4-48DD-B86A-831870728FC7}"/>
    <cellStyle name="Normal 4 2 2 3 2 3 4 2 3" xfId="13436" xr:uid="{BCE06BBD-D738-4CA9-AC94-B85B2027B291}"/>
    <cellStyle name="Normal 4 2 2 3 2 3 4 3" xfId="5921" xr:uid="{00000000-0005-0000-0000-000048170000}"/>
    <cellStyle name="Normal 4 2 2 3 2 3 4 3 2" xfId="15512" xr:uid="{9A4B5CDF-1D90-4C04-ABD5-150AE2AB3233}"/>
    <cellStyle name="Normal 4 2 2 3 2 3 4 4" xfId="11207" xr:uid="{DA24238D-A2B2-4043-9DD1-8A7363DAB72E}"/>
    <cellStyle name="Normal 4 2 2 3 2 3 5" xfId="2028" xr:uid="{00000000-0005-0000-0000-000013080000}"/>
    <cellStyle name="Normal 4 2 2 3 2 3 5 2" xfId="4257" xr:uid="{00000000-0005-0000-0000-0000C8100000}"/>
    <cellStyle name="Normal 4 2 2 3 2 3 5 2 2" xfId="8479" xr:uid="{00000000-0005-0000-0000-000046210000}"/>
    <cellStyle name="Normal 4 2 2 3 2 3 5 2 2 2" xfId="18070" xr:uid="{7EC1E6A1-F4DA-4C0B-A63A-0F8BE539E3A7}"/>
    <cellStyle name="Normal 4 2 2 3 2 3 5 2 3" xfId="13849" xr:uid="{94E0CC16-0EE6-4714-B641-08279370CCFC}"/>
    <cellStyle name="Normal 4 2 2 3 2 3 5 3" xfId="6334" xr:uid="{00000000-0005-0000-0000-0000E5180000}"/>
    <cellStyle name="Normal 4 2 2 3 2 3 5 3 2" xfId="15925" xr:uid="{24B96BB1-E9A6-4A3F-9B14-097AFC51D3E0}"/>
    <cellStyle name="Normal 4 2 2 3 2 3 5 4" xfId="11620" xr:uid="{1EEFB258-3D24-4A02-828A-530C101BFF9D}"/>
    <cellStyle name="Normal 4 2 2 3 2 3 6" xfId="2464" xr:uid="{00000000-0005-0000-0000-0000C7090000}"/>
    <cellStyle name="Normal 4 2 2 3 2 3 6 2" xfId="6747" xr:uid="{00000000-0005-0000-0000-0000821A0000}"/>
    <cellStyle name="Normal 4 2 2 3 2 3 6 2 2" xfId="16338" xr:uid="{AC7787E4-5C74-42F6-B4F5-7DD5CD1C0EEB}"/>
    <cellStyle name="Normal 4 2 2 3 2 3 6 3" xfId="12056" xr:uid="{55928B4A-34FE-4064-84F5-559F281EBEFE}"/>
    <cellStyle name="Normal 4 2 2 3 2 3 7" xfId="4682" xr:uid="{00000000-0005-0000-0000-000071120000}"/>
    <cellStyle name="Normal 4 2 2 3 2 3 7 2" xfId="14273" xr:uid="{AD3124CB-4425-4E25-B38A-B5CE672E4F58}"/>
    <cellStyle name="Normal 4 2 2 3 2 3 8" xfId="8987" xr:uid="{00000000-0005-0000-0000-000042230000}"/>
    <cellStyle name="Normal 4 2 2 3 2 3 9" xfId="9907" xr:uid="{492FBC1E-B210-4485-ACB5-EE61111F26D7}"/>
    <cellStyle name="Normal 4 2 2 3 2 4" xfId="778" xr:uid="{00000000-0005-0000-0000-000031030000}"/>
    <cellStyle name="Normal 4 2 2 3 2 4 2" xfId="3015" xr:uid="{00000000-0005-0000-0000-0000EE0B0000}"/>
    <cellStyle name="Normal 4 2 2 3 2 4 2 2" xfId="7237" xr:uid="{00000000-0005-0000-0000-00006C1C0000}"/>
    <cellStyle name="Normal 4 2 2 3 2 4 2 2 2" xfId="16828" xr:uid="{DE4B8349-ABEB-4269-9AEC-7CAE9787205F}"/>
    <cellStyle name="Normal 4 2 2 3 2 4 2 3" xfId="12607" xr:uid="{6F415DBA-D0BA-41B3-93F9-6C70373038DC}"/>
    <cellStyle name="Normal 4 2 2 3 2 4 3" xfId="5092" xr:uid="{00000000-0005-0000-0000-00000B140000}"/>
    <cellStyle name="Normal 4 2 2 3 2 4 3 2" xfId="14683" xr:uid="{438EEE21-AAE9-4EE6-9FF6-DE2F9FD5FE4A}"/>
    <cellStyle name="Normal 4 2 2 3 2 4 4" xfId="9205" xr:uid="{00000000-0005-0000-0000-00001C240000}"/>
    <cellStyle name="Normal 4 2 2 3 2 4 5" xfId="10371" xr:uid="{9644B52F-6653-4403-95AB-6EB348A53ADE}"/>
    <cellStyle name="Normal 4 2 2 3 2 5" xfId="1198" xr:uid="{00000000-0005-0000-0000-0000D5040000}"/>
    <cellStyle name="Normal 4 2 2 3 2 5 2" xfId="3428" xr:uid="{00000000-0005-0000-0000-00008B0D0000}"/>
    <cellStyle name="Normal 4 2 2 3 2 5 2 2" xfId="7650" xr:uid="{00000000-0005-0000-0000-0000091E0000}"/>
    <cellStyle name="Normal 4 2 2 3 2 5 2 2 2" xfId="17241" xr:uid="{23899860-5EDD-43EF-9257-2AB6F5737057}"/>
    <cellStyle name="Normal 4 2 2 3 2 5 2 3" xfId="13020" xr:uid="{9AD4D5A6-86AA-49DF-BED9-500C1B46658E}"/>
    <cellStyle name="Normal 4 2 2 3 2 5 3" xfId="5505" xr:uid="{00000000-0005-0000-0000-0000A8150000}"/>
    <cellStyle name="Normal 4 2 2 3 2 5 3 2" xfId="15096" xr:uid="{8497D7CE-633A-43E2-9208-6AD8FD412361}"/>
    <cellStyle name="Normal 4 2 2 3 2 5 4" xfId="10791" xr:uid="{F2C60ED2-439A-44D2-8256-1F66CC946B68}"/>
    <cellStyle name="Normal 4 2 2 3 2 6" xfId="1611" xr:uid="{00000000-0005-0000-0000-000072060000}"/>
    <cellStyle name="Normal 4 2 2 3 2 6 2" xfId="3841" xr:uid="{00000000-0005-0000-0000-0000280F0000}"/>
    <cellStyle name="Normal 4 2 2 3 2 6 2 2" xfId="8063" xr:uid="{00000000-0005-0000-0000-0000A61F0000}"/>
    <cellStyle name="Normal 4 2 2 3 2 6 2 2 2" xfId="17654" xr:uid="{CA6B3406-B049-492A-8962-06173F2245CE}"/>
    <cellStyle name="Normal 4 2 2 3 2 6 2 3" xfId="13433" xr:uid="{DEE650C8-347D-468C-9C52-479A1AEE715B}"/>
    <cellStyle name="Normal 4 2 2 3 2 6 3" xfId="5918" xr:uid="{00000000-0005-0000-0000-000045170000}"/>
    <cellStyle name="Normal 4 2 2 3 2 6 3 2" xfId="15509" xr:uid="{C8E3EEE1-B745-4B56-9363-9D9DEF31992F}"/>
    <cellStyle name="Normal 4 2 2 3 2 6 4" xfId="11204" xr:uid="{5D3A6A21-0CA6-4103-9A45-51B3BA783C0B}"/>
    <cellStyle name="Normal 4 2 2 3 2 7" xfId="2025" xr:uid="{00000000-0005-0000-0000-000010080000}"/>
    <cellStyle name="Normal 4 2 2 3 2 7 2" xfId="4254" xr:uid="{00000000-0005-0000-0000-0000C5100000}"/>
    <cellStyle name="Normal 4 2 2 3 2 7 2 2" xfId="8476" xr:uid="{00000000-0005-0000-0000-000043210000}"/>
    <cellStyle name="Normal 4 2 2 3 2 7 2 2 2" xfId="18067" xr:uid="{8EB0A422-B90B-4916-99B6-817562B1DA0C}"/>
    <cellStyle name="Normal 4 2 2 3 2 7 2 3" xfId="13846" xr:uid="{F20891DE-88BD-4028-BAEE-E8FF186CE1E0}"/>
    <cellStyle name="Normal 4 2 2 3 2 7 3" xfId="6331" xr:uid="{00000000-0005-0000-0000-0000E2180000}"/>
    <cellStyle name="Normal 4 2 2 3 2 7 3 2" xfId="15922" xr:uid="{3ABD04E0-D30A-4877-951B-C3B9D87EB95F}"/>
    <cellStyle name="Normal 4 2 2 3 2 7 4" xfId="11617" xr:uid="{BB7522DA-91A0-4341-887F-1285A2F31C4F}"/>
    <cellStyle name="Normal 4 2 2 3 2 8" xfId="2461" xr:uid="{00000000-0005-0000-0000-0000C4090000}"/>
    <cellStyle name="Normal 4 2 2 3 2 8 2" xfId="6744" xr:uid="{00000000-0005-0000-0000-00007F1A0000}"/>
    <cellStyle name="Normal 4 2 2 3 2 8 2 2" xfId="16335" xr:uid="{DB544C55-1A99-4F8A-A8E6-DEF01E11482C}"/>
    <cellStyle name="Normal 4 2 2 3 2 8 3" xfId="12053" xr:uid="{F50A8B52-56A6-4596-B203-FDA808F06333}"/>
    <cellStyle name="Normal 4 2 2 3 2 9" xfId="4679" xr:uid="{00000000-0005-0000-0000-00006E120000}"/>
    <cellStyle name="Normal 4 2 2 3 2 9 2" xfId="14270" xr:uid="{3F51137E-E26A-4D23-8BB3-40F5546F510A}"/>
    <cellStyle name="Normal 4 2 2 3 3" xfId="308" xr:uid="{00000000-0005-0000-0000-000058010000}"/>
    <cellStyle name="Normal 4 2 2 3 3 10" xfId="9908" xr:uid="{ABD3920D-4284-4CD4-B200-AE9F94A4CBE6}"/>
    <cellStyle name="Normal 4 2 2 3 3 2" xfId="309" xr:uid="{00000000-0005-0000-0000-000059010000}"/>
    <cellStyle name="Normal 4 2 2 3 3 2 2" xfId="783" xr:uid="{00000000-0005-0000-0000-000036030000}"/>
    <cellStyle name="Normal 4 2 2 3 3 2 2 2" xfId="3020" xr:uid="{00000000-0005-0000-0000-0000F30B0000}"/>
    <cellStyle name="Normal 4 2 2 3 3 2 2 2 2" xfId="7242" xr:uid="{00000000-0005-0000-0000-0000711C0000}"/>
    <cellStyle name="Normal 4 2 2 3 3 2 2 2 2 2" xfId="16833" xr:uid="{6176CC23-B570-4A67-8ACF-207877C64791}"/>
    <cellStyle name="Normal 4 2 2 3 3 2 2 2 3" xfId="12612" xr:uid="{D6818736-C06D-4D7D-8FBD-001D09D382CD}"/>
    <cellStyle name="Normal 4 2 2 3 3 2 2 3" xfId="5097" xr:uid="{00000000-0005-0000-0000-000010140000}"/>
    <cellStyle name="Normal 4 2 2 3 3 2 2 3 2" xfId="14688" xr:uid="{6D43D486-20D2-408B-BD05-062B4EA41DB0}"/>
    <cellStyle name="Normal 4 2 2 3 3 2 2 4" xfId="9480" xr:uid="{00000000-0005-0000-0000-00002F250000}"/>
    <cellStyle name="Normal 4 2 2 3 3 2 2 5" xfId="10376" xr:uid="{C8F20767-38E8-49CF-9D80-D4A8E72D1717}"/>
    <cellStyle name="Normal 4 2 2 3 3 2 3" xfId="1203" xr:uid="{00000000-0005-0000-0000-0000DA040000}"/>
    <cellStyle name="Normal 4 2 2 3 3 2 3 2" xfId="3433" xr:uid="{00000000-0005-0000-0000-0000900D0000}"/>
    <cellStyle name="Normal 4 2 2 3 3 2 3 2 2" xfId="7655" xr:uid="{00000000-0005-0000-0000-00000E1E0000}"/>
    <cellStyle name="Normal 4 2 2 3 3 2 3 2 2 2" xfId="17246" xr:uid="{DC5F98D8-1F56-44FF-86BA-2C1481AF9C8B}"/>
    <cellStyle name="Normal 4 2 2 3 3 2 3 2 3" xfId="13025" xr:uid="{4BE91471-3292-4452-87FE-2031C02F22B0}"/>
    <cellStyle name="Normal 4 2 2 3 3 2 3 3" xfId="5510" xr:uid="{00000000-0005-0000-0000-0000AD150000}"/>
    <cellStyle name="Normal 4 2 2 3 3 2 3 3 2" xfId="15101" xr:uid="{B66B6A59-B8AF-4B48-94D2-4815BF7681E1}"/>
    <cellStyle name="Normal 4 2 2 3 3 2 3 4" xfId="10796" xr:uid="{9F9616FE-FAC6-49EB-9786-D4C769B9C326}"/>
    <cellStyle name="Normal 4 2 2 3 3 2 4" xfId="1616" xr:uid="{00000000-0005-0000-0000-000077060000}"/>
    <cellStyle name="Normal 4 2 2 3 3 2 4 2" xfId="3846" xr:uid="{00000000-0005-0000-0000-00002D0F0000}"/>
    <cellStyle name="Normal 4 2 2 3 3 2 4 2 2" xfId="8068" xr:uid="{00000000-0005-0000-0000-0000AB1F0000}"/>
    <cellStyle name="Normal 4 2 2 3 3 2 4 2 2 2" xfId="17659" xr:uid="{3DEF66DC-E067-4696-A263-A7EDF8DD92B7}"/>
    <cellStyle name="Normal 4 2 2 3 3 2 4 2 3" xfId="13438" xr:uid="{7B236A06-DDB4-456A-BA8B-4648A562649B}"/>
    <cellStyle name="Normal 4 2 2 3 3 2 4 3" xfId="5923" xr:uid="{00000000-0005-0000-0000-00004A170000}"/>
    <cellStyle name="Normal 4 2 2 3 3 2 4 3 2" xfId="15514" xr:uid="{A2208CC6-74CB-4DDA-9AD1-EA468E1EC8EC}"/>
    <cellStyle name="Normal 4 2 2 3 3 2 4 4" xfId="11209" xr:uid="{A9802F1B-99B4-49ED-9A13-167C5EC38B70}"/>
    <cellStyle name="Normal 4 2 2 3 3 2 5" xfId="2030" xr:uid="{00000000-0005-0000-0000-000015080000}"/>
    <cellStyle name="Normal 4 2 2 3 3 2 5 2" xfId="4259" xr:uid="{00000000-0005-0000-0000-0000CA100000}"/>
    <cellStyle name="Normal 4 2 2 3 3 2 5 2 2" xfId="8481" xr:uid="{00000000-0005-0000-0000-000048210000}"/>
    <cellStyle name="Normal 4 2 2 3 3 2 5 2 2 2" xfId="18072" xr:uid="{29346823-974F-490D-8A36-34D364EED806}"/>
    <cellStyle name="Normal 4 2 2 3 3 2 5 2 3" xfId="13851" xr:uid="{7F01F681-411A-483C-8411-66941D03E346}"/>
    <cellStyle name="Normal 4 2 2 3 3 2 5 3" xfId="6336" xr:uid="{00000000-0005-0000-0000-0000E7180000}"/>
    <cellStyle name="Normal 4 2 2 3 3 2 5 3 2" xfId="15927" xr:uid="{75D70054-45EE-4735-97CC-795918803B3F}"/>
    <cellStyle name="Normal 4 2 2 3 3 2 5 4" xfId="11622" xr:uid="{4594EE52-75F8-42CA-8B4F-01D945E69CE1}"/>
    <cellStyle name="Normal 4 2 2 3 3 2 6" xfId="2466" xr:uid="{00000000-0005-0000-0000-0000C9090000}"/>
    <cellStyle name="Normal 4 2 2 3 3 2 6 2" xfId="6749" xr:uid="{00000000-0005-0000-0000-0000841A0000}"/>
    <cellStyle name="Normal 4 2 2 3 3 2 6 2 2" xfId="16340" xr:uid="{317463C1-B4DC-453E-A8F1-72163B139089}"/>
    <cellStyle name="Normal 4 2 2 3 3 2 6 3" xfId="12058" xr:uid="{7210AB7A-231B-495F-8617-8BF61E4E169D}"/>
    <cellStyle name="Normal 4 2 2 3 3 2 7" xfId="4684" xr:uid="{00000000-0005-0000-0000-000073120000}"/>
    <cellStyle name="Normal 4 2 2 3 3 2 7 2" xfId="14275" xr:uid="{3E7128A2-773D-4119-A9AA-DDF50FBE2961}"/>
    <cellStyle name="Normal 4 2 2 3 3 2 8" xfId="9055" xr:uid="{00000000-0005-0000-0000-000086230000}"/>
    <cellStyle name="Normal 4 2 2 3 3 2 9" xfId="9909" xr:uid="{E0D151EC-F046-45D5-9E74-CCF71DA52A76}"/>
    <cellStyle name="Normal 4 2 2 3 3 3" xfId="782" xr:uid="{00000000-0005-0000-0000-000035030000}"/>
    <cellStyle name="Normal 4 2 2 3 3 3 2" xfId="3019" xr:uid="{00000000-0005-0000-0000-0000F20B0000}"/>
    <cellStyle name="Normal 4 2 2 3 3 3 2 2" xfId="7241" xr:uid="{00000000-0005-0000-0000-0000701C0000}"/>
    <cellStyle name="Normal 4 2 2 3 3 3 2 2 2" xfId="16832" xr:uid="{DA2EB005-A58C-47E9-BA41-6ABA9AE39EA0}"/>
    <cellStyle name="Normal 4 2 2 3 3 3 2 3" xfId="12611" xr:uid="{36926E6F-F5B3-4981-BA44-D42EC7272745}"/>
    <cellStyle name="Normal 4 2 2 3 3 3 3" xfId="5096" xr:uid="{00000000-0005-0000-0000-00000F140000}"/>
    <cellStyle name="Normal 4 2 2 3 3 3 3 2" xfId="14687" xr:uid="{71BB8CC3-108E-4535-BEB0-01156A3044B6}"/>
    <cellStyle name="Normal 4 2 2 3 3 3 4" xfId="9273" xr:uid="{00000000-0005-0000-0000-000060240000}"/>
    <cellStyle name="Normal 4 2 2 3 3 3 5" xfId="10375" xr:uid="{753E79A9-2623-451C-A872-CB4982CCB16F}"/>
    <cellStyle name="Normal 4 2 2 3 3 4" xfId="1202" xr:uid="{00000000-0005-0000-0000-0000D9040000}"/>
    <cellStyle name="Normal 4 2 2 3 3 4 2" xfId="3432" xr:uid="{00000000-0005-0000-0000-00008F0D0000}"/>
    <cellStyle name="Normal 4 2 2 3 3 4 2 2" xfId="7654" xr:uid="{00000000-0005-0000-0000-00000D1E0000}"/>
    <cellStyle name="Normal 4 2 2 3 3 4 2 2 2" xfId="17245" xr:uid="{D990D92A-0973-4CA1-891F-9B0ABD98F968}"/>
    <cellStyle name="Normal 4 2 2 3 3 4 2 3" xfId="13024" xr:uid="{CB537B94-E62E-4398-9489-FB1D2EF65C09}"/>
    <cellStyle name="Normal 4 2 2 3 3 4 3" xfId="5509" xr:uid="{00000000-0005-0000-0000-0000AC150000}"/>
    <cellStyle name="Normal 4 2 2 3 3 4 3 2" xfId="15100" xr:uid="{188180CA-0D3C-4F7A-892A-C9AB7FDC9E3C}"/>
    <cellStyle name="Normal 4 2 2 3 3 4 4" xfId="10795" xr:uid="{0425B5D9-2636-470A-8AE0-025C2F44C72B}"/>
    <cellStyle name="Normal 4 2 2 3 3 5" xfId="1615" xr:uid="{00000000-0005-0000-0000-000076060000}"/>
    <cellStyle name="Normal 4 2 2 3 3 5 2" xfId="3845" xr:uid="{00000000-0005-0000-0000-00002C0F0000}"/>
    <cellStyle name="Normal 4 2 2 3 3 5 2 2" xfId="8067" xr:uid="{00000000-0005-0000-0000-0000AA1F0000}"/>
    <cellStyle name="Normal 4 2 2 3 3 5 2 2 2" xfId="17658" xr:uid="{0C5F3029-0608-4775-9E10-75F92D8D10C7}"/>
    <cellStyle name="Normal 4 2 2 3 3 5 2 3" xfId="13437" xr:uid="{A59F5C2B-04D2-4EED-9145-583FE7C2BC96}"/>
    <cellStyle name="Normal 4 2 2 3 3 5 3" xfId="5922" xr:uid="{00000000-0005-0000-0000-000049170000}"/>
    <cellStyle name="Normal 4 2 2 3 3 5 3 2" xfId="15513" xr:uid="{DD00AE97-DA1C-499F-BAA3-40836D7BEA92}"/>
    <cellStyle name="Normal 4 2 2 3 3 5 4" xfId="11208" xr:uid="{33A187BE-7B79-4F3E-B473-355FB637286B}"/>
    <cellStyle name="Normal 4 2 2 3 3 6" xfId="2029" xr:uid="{00000000-0005-0000-0000-000014080000}"/>
    <cellStyle name="Normal 4 2 2 3 3 6 2" xfId="4258" xr:uid="{00000000-0005-0000-0000-0000C9100000}"/>
    <cellStyle name="Normal 4 2 2 3 3 6 2 2" xfId="8480" xr:uid="{00000000-0005-0000-0000-000047210000}"/>
    <cellStyle name="Normal 4 2 2 3 3 6 2 2 2" xfId="18071" xr:uid="{758D6972-E2BD-4BF4-82D6-A91A55BFE847}"/>
    <cellStyle name="Normal 4 2 2 3 3 6 2 3" xfId="13850" xr:uid="{4656F0B4-099E-4EB2-8BDF-1259815DAB01}"/>
    <cellStyle name="Normal 4 2 2 3 3 6 3" xfId="6335" xr:uid="{00000000-0005-0000-0000-0000E6180000}"/>
    <cellStyle name="Normal 4 2 2 3 3 6 3 2" xfId="15926" xr:uid="{05561E5F-44C1-4726-AFEF-8B03789EEB5C}"/>
    <cellStyle name="Normal 4 2 2 3 3 6 4" xfId="11621" xr:uid="{966B50E2-BE1A-4638-A8E7-0E0766D009A1}"/>
    <cellStyle name="Normal 4 2 2 3 3 7" xfId="2465" xr:uid="{00000000-0005-0000-0000-0000C8090000}"/>
    <cellStyle name="Normal 4 2 2 3 3 7 2" xfId="6748" xr:uid="{00000000-0005-0000-0000-0000831A0000}"/>
    <cellStyle name="Normal 4 2 2 3 3 7 2 2" xfId="16339" xr:uid="{C3AAA5E1-1186-473C-9714-F31A414A51ED}"/>
    <cellStyle name="Normal 4 2 2 3 3 7 3" xfId="12057" xr:uid="{FF050F54-C754-4F9E-85FE-3426F16C97AA}"/>
    <cellStyle name="Normal 4 2 2 3 3 8" xfId="4683" xr:uid="{00000000-0005-0000-0000-000072120000}"/>
    <cellStyle name="Normal 4 2 2 3 3 8 2" xfId="14274" xr:uid="{A2281544-49D1-4015-BE15-F6D6727B910E}"/>
    <cellStyle name="Normal 4 2 2 3 3 9" xfId="8848" xr:uid="{00000000-0005-0000-0000-0000B7220000}"/>
    <cellStyle name="Normal 4 2 2 3 4" xfId="310" xr:uid="{00000000-0005-0000-0000-00005A010000}"/>
    <cellStyle name="Normal 4 2 2 3 4 2" xfId="784" xr:uid="{00000000-0005-0000-0000-000037030000}"/>
    <cellStyle name="Normal 4 2 2 3 4 2 2" xfId="3021" xr:uid="{00000000-0005-0000-0000-0000F40B0000}"/>
    <cellStyle name="Normal 4 2 2 3 4 2 2 2" xfId="7243" xr:uid="{00000000-0005-0000-0000-0000721C0000}"/>
    <cellStyle name="Normal 4 2 2 3 4 2 2 2 2" xfId="16834" xr:uid="{07888335-B43C-42C8-B1CD-98452DD5B25E}"/>
    <cellStyle name="Normal 4 2 2 3 4 2 2 3" xfId="12613" xr:uid="{720D9466-20A1-4BEA-9AE9-13D1AAAC4C66}"/>
    <cellStyle name="Normal 4 2 2 3 4 2 3" xfId="5098" xr:uid="{00000000-0005-0000-0000-000011140000}"/>
    <cellStyle name="Normal 4 2 2 3 4 2 3 2" xfId="14689" xr:uid="{3DB61742-7E0A-4DF5-9B3E-EFE00DF903D8}"/>
    <cellStyle name="Normal 4 2 2 3 4 2 4" xfId="9377" xr:uid="{00000000-0005-0000-0000-0000C8240000}"/>
    <cellStyle name="Normal 4 2 2 3 4 2 5" xfId="10377" xr:uid="{CB5F2AB5-1947-450C-B2AD-B3939E9D9CF4}"/>
    <cellStyle name="Normal 4 2 2 3 4 3" xfId="1204" xr:uid="{00000000-0005-0000-0000-0000DB040000}"/>
    <cellStyle name="Normal 4 2 2 3 4 3 2" xfId="3434" xr:uid="{00000000-0005-0000-0000-0000910D0000}"/>
    <cellStyle name="Normal 4 2 2 3 4 3 2 2" xfId="7656" xr:uid="{00000000-0005-0000-0000-00000F1E0000}"/>
    <cellStyle name="Normal 4 2 2 3 4 3 2 2 2" xfId="17247" xr:uid="{9205B78F-7B2D-48DC-A377-D7D2EBE084E9}"/>
    <cellStyle name="Normal 4 2 2 3 4 3 2 3" xfId="13026" xr:uid="{2E447CF3-2F92-4ED0-95C2-85B033423CCD}"/>
    <cellStyle name="Normal 4 2 2 3 4 3 3" xfId="5511" xr:uid="{00000000-0005-0000-0000-0000AE150000}"/>
    <cellStyle name="Normal 4 2 2 3 4 3 3 2" xfId="15102" xr:uid="{2BECC6D0-54BC-4029-9FE6-76F510F9CC2B}"/>
    <cellStyle name="Normal 4 2 2 3 4 3 4" xfId="10797" xr:uid="{8BDBC8BE-D434-4409-8844-7E41D35D10E7}"/>
    <cellStyle name="Normal 4 2 2 3 4 4" xfId="1617" xr:uid="{00000000-0005-0000-0000-000078060000}"/>
    <cellStyle name="Normal 4 2 2 3 4 4 2" xfId="3847" xr:uid="{00000000-0005-0000-0000-00002E0F0000}"/>
    <cellStyle name="Normal 4 2 2 3 4 4 2 2" xfId="8069" xr:uid="{00000000-0005-0000-0000-0000AC1F0000}"/>
    <cellStyle name="Normal 4 2 2 3 4 4 2 2 2" xfId="17660" xr:uid="{AD8E5ED0-4122-435F-9B9A-9BC479C74C9B}"/>
    <cellStyle name="Normal 4 2 2 3 4 4 2 3" xfId="13439" xr:uid="{9B916BB6-1F91-4F7D-B46A-5543A69AF41B}"/>
    <cellStyle name="Normal 4 2 2 3 4 4 3" xfId="5924" xr:uid="{00000000-0005-0000-0000-00004B170000}"/>
    <cellStyle name="Normal 4 2 2 3 4 4 3 2" xfId="15515" xr:uid="{4F576BF8-6914-4E6B-B1B4-ABD5CF67062B}"/>
    <cellStyle name="Normal 4 2 2 3 4 4 4" xfId="11210" xr:uid="{EE81F78B-EB48-49E1-AE9A-18E07E642310}"/>
    <cellStyle name="Normal 4 2 2 3 4 5" xfId="2031" xr:uid="{00000000-0005-0000-0000-000016080000}"/>
    <cellStyle name="Normal 4 2 2 3 4 5 2" xfId="4260" xr:uid="{00000000-0005-0000-0000-0000CB100000}"/>
    <cellStyle name="Normal 4 2 2 3 4 5 2 2" xfId="8482" xr:uid="{00000000-0005-0000-0000-000049210000}"/>
    <cellStyle name="Normal 4 2 2 3 4 5 2 2 2" xfId="18073" xr:uid="{39C445E3-2145-484B-8DC9-F376E337CED8}"/>
    <cellStyle name="Normal 4 2 2 3 4 5 2 3" xfId="13852" xr:uid="{45C2B90E-95C4-420D-9563-89D41310BCBB}"/>
    <cellStyle name="Normal 4 2 2 3 4 5 3" xfId="6337" xr:uid="{00000000-0005-0000-0000-0000E8180000}"/>
    <cellStyle name="Normal 4 2 2 3 4 5 3 2" xfId="15928" xr:uid="{2B00F3EA-B8D6-4856-9253-31524631084D}"/>
    <cellStyle name="Normal 4 2 2 3 4 5 4" xfId="11623" xr:uid="{A95C24C9-2623-481C-A81E-44B3C8AF3DF7}"/>
    <cellStyle name="Normal 4 2 2 3 4 6" xfId="2467" xr:uid="{00000000-0005-0000-0000-0000CA090000}"/>
    <cellStyle name="Normal 4 2 2 3 4 6 2" xfId="6750" xr:uid="{00000000-0005-0000-0000-0000851A0000}"/>
    <cellStyle name="Normal 4 2 2 3 4 6 2 2" xfId="16341" xr:uid="{5E66A46B-BD2F-4AF6-9F3B-EE57B221F07F}"/>
    <cellStyle name="Normal 4 2 2 3 4 6 3" xfId="12059" xr:uid="{EAAA2386-FA27-48A4-BB02-5260D205EB7C}"/>
    <cellStyle name="Normal 4 2 2 3 4 7" xfId="4685" xr:uid="{00000000-0005-0000-0000-000074120000}"/>
    <cellStyle name="Normal 4 2 2 3 4 7 2" xfId="14276" xr:uid="{87DC3FC7-5D5D-4479-BEFF-DACC4DB37B4F}"/>
    <cellStyle name="Normal 4 2 2 3 4 8" xfId="8952" xr:uid="{00000000-0005-0000-0000-00001F230000}"/>
    <cellStyle name="Normal 4 2 2 3 4 9" xfId="9910" xr:uid="{66BFF3B6-E9CD-4F2C-AABD-92959E978396}"/>
    <cellStyle name="Normal 4 2 2 3 5" xfId="777" xr:uid="{00000000-0005-0000-0000-000030030000}"/>
    <cellStyle name="Normal 4 2 2 3 5 2" xfId="3014" xr:uid="{00000000-0005-0000-0000-0000ED0B0000}"/>
    <cellStyle name="Normal 4 2 2 3 5 2 2" xfId="7236" xr:uid="{00000000-0005-0000-0000-00006B1C0000}"/>
    <cellStyle name="Normal 4 2 2 3 5 2 2 2" xfId="16827" xr:uid="{10A56668-8900-419E-8864-7F97C8D4AB37}"/>
    <cellStyle name="Normal 4 2 2 3 5 2 3" xfId="12606" xr:uid="{A9B770E3-73CD-4C52-B6B1-3153BD023D2B}"/>
    <cellStyle name="Normal 4 2 2 3 5 3" xfId="5091" xr:uid="{00000000-0005-0000-0000-00000A140000}"/>
    <cellStyle name="Normal 4 2 2 3 5 3 2" xfId="14682" xr:uid="{8BCD9B06-64D0-4EE4-AD05-A856A729C946}"/>
    <cellStyle name="Normal 4 2 2 3 5 4" xfId="9169" xr:uid="{00000000-0005-0000-0000-0000F8230000}"/>
    <cellStyle name="Normal 4 2 2 3 5 5" xfId="10370" xr:uid="{CA4B7C7F-70ED-44E8-B376-87459FDB2156}"/>
    <cellStyle name="Normal 4 2 2 3 6" xfId="1197" xr:uid="{00000000-0005-0000-0000-0000D4040000}"/>
    <cellStyle name="Normal 4 2 2 3 6 2" xfId="3427" xr:uid="{00000000-0005-0000-0000-00008A0D0000}"/>
    <cellStyle name="Normal 4 2 2 3 6 2 2" xfId="7649" xr:uid="{00000000-0005-0000-0000-0000081E0000}"/>
    <cellStyle name="Normal 4 2 2 3 6 2 2 2" xfId="17240" xr:uid="{CD8A0013-FFAE-49A0-A975-B5C3F37AEF02}"/>
    <cellStyle name="Normal 4 2 2 3 6 2 3" xfId="13019" xr:uid="{7F050BBF-F273-427A-A933-087DD09F91E2}"/>
    <cellStyle name="Normal 4 2 2 3 6 3" xfId="5504" xr:uid="{00000000-0005-0000-0000-0000A7150000}"/>
    <cellStyle name="Normal 4 2 2 3 6 3 2" xfId="15095" xr:uid="{B92D75BC-546F-4583-9657-0BE21F38156E}"/>
    <cellStyle name="Normal 4 2 2 3 6 4" xfId="10790" xr:uid="{42FC11F8-2177-411E-BEE4-ABB375EE034C}"/>
    <cellStyle name="Normal 4 2 2 3 7" xfId="1610" xr:uid="{00000000-0005-0000-0000-000071060000}"/>
    <cellStyle name="Normal 4 2 2 3 7 2" xfId="3840" xr:uid="{00000000-0005-0000-0000-0000270F0000}"/>
    <cellStyle name="Normal 4 2 2 3 7 2 2" xfId="8062" xr:uid="{00000000-0005-0000-0000-0000A51F0000}"/>
    <cellStyle name="Normal 4 2 2 3 7 2 2 2" xfId="17653" xr:uid="{B5045BA4-14B2-40A0-9CAB-95E024DD51B2}"/>
    <cellStyle name="Normal 4 2 2 3 7 2 3" xfId="13432" xr:uid="{40C4883D-8A16-4F87-BDA9-B168DDFE77F8}"/>
    <cellStyle name="Normal 4 2 2 3 7 3" xfId="5917" xr:uid="{00000000-0005-0000-0000-000044170000}"/>
    <cellStyle name="Normal 4 2 2 3 7 3 2" xfId="15508" xr:uid="{0869E5AA-6252-450B-9E5F-70DA654CD3AB}"/>
    <cellStyle name="Normal 4 2 2 3 7 4" xfId="11203" xr:uid="{1EA920E7-A811-4437-BC54-D3B0A9C587EF}"/>
    <cellStyle name="Normal 4 2 2 3 8" xfId="2024" xr:uid="{00000000-0005-0000-0000-00000F080000}"/>
    <cellStyle name="Normal 4 2 2 3 8 2" xfId="4253" xr:uid="{00000000-0005-0000-0000-0000C4100000}"/>
    <cellStyle name="Normal 4 2 2 3 8 2 2" xfId="8475" xr:uid="{00000000-0005-0000-0000-000042210000}"/>
    <cellStyle name="Normal 4 2 2 3 8 2 2 2" xfId="18066" xr:uid="{CD4E985E-1253-462C-BAED-A1A8E4228628}"/>
    <cellStyle name="Normal 4 2 2 3 8 2 3" xfId="13845" xr:uid="{07FA8335-E74C-4CEC-B27E-6B437CD47F61}"/>
    <cellStyle name="Normal 4 2 2 3 8 3" xfId="6330" xr:uid="{00000000-0005-0000-0000-0000E1180000}"/>
    <cellStyle name="Normal 4 2 2 3 8 3 2" xfId="15921" xr:uid="{623B2B23-0915-48A2-98FA-004FB741ACC2}"/>
    <cellStyle name="Normal 4 2 2 3 8 4" xfId="11616" xr:uid="{A8017AC3-713A-423D-9B6A-1EE200B1B9F9}"/>
    <cellStyle name="Normal 4 2 2 3 9" xfId="2460" xr:uid="{00000000-0005-0000-0000-0000C3090000}"/>
    <cellStyle name="Normal 4 2 2 3 9 2" xfId="6743" xr:uid="{00000000-0005-0000-0000-00007E1A0000}"/>
    <cellStyle name="Normal 4 2 2 3 9 2 2" xfId="16334" xr:uid="{EFBDCB20-8D04-4BE8-9D82-24E6B0B1A062}"/>
    <cellStyle name="Normal 4 2 2 3 9 3" xfId="12052" xr:uid="{33B1F133-AB23-4384-83EE-8C2B0A5D32D6}"/>
    <cellStyle name="Normal 4 2 2 4" xfId="311" xr:uid="{00000000-0005-0000-0000-00005B010000}"/>
    <cellStyle name="Normal 4 2 2 4 10" xfId="8779" xr:uid="{00000000-0005-0000-0000-000072220000}"/>
    <cellStyle name="Normal 4 2 2 4 11" xfId="9911" xr:uid="{4246C704-45A0-4ABA-BC84-C3D1808836E5}"/>
    <cellStyle name="Normal 4 2 2 4 2" xfId="312" xr:uid="{00000000-0005-0000-0000-00005C010000}"/>
    <cellStyle name="Normal 4 2 2 4 2 10" xfId="9912" xr:uid="{1DE0D7FC-B77B-4BDA-8EEC-40CCEBB9BD1D}"/>
    <cellStyle name="Normal 4 2 2 4 2 2" xfId="313" xr:uid="{00000000-0005-0000-0000-00005D010000}"/>
    <cellStyle name="Normal 4 2 2 4 2 2 2" xfId="787" xr:uid="{00000000-0005-0000-0000-00003A030000}"/>
    <cellStyle name="Normal 4 2 2 4 2 2 2 2" xfId="3024" xr:uid="{00000000-0005-0000-0000-0000F70B0000}"/>
    <cellStyle name="Normal 4 2 2 4 2 2 2 2 2" xfId="7246" xr:uid="{00000000-0005-0000-0000-0000751C0000}"/>
    <cellStyle name="Normal 4 2 2 4 2 2 2 2 2 2" xfId="16837" xr:uid="{097AE0F0-B1B9-4752-AF01-266974EFB00A}"/>
    <cellStyle name="Normal 4 2 2 4 2 2 2 2 3" xfId="12616" xr:uid="{815A2F03-6505-4CB2-B4D4-0E90A8450C95}"/>
    <cellStyle name="Normal 4 2 2 4 2 2 2 3" xfId="5101" xr:uid="{00000000-0005-0000-0000-000014140000}"/>
    <cellStyle name="Normal 4 2 2 4 2 2 2 3 2" xfId="14692" xr:uid="{F98717CA-074A-4F0C-8865-24F5F1F9BA6F}"/>
    <cellStyle name="Normal 4 2 2 4 2 2 2 4" xfId="9514" xr:uid="{00000000-0005-0000-0000-000051250000}"/>
    <cellStyle name="Normal 4 2 2 4 2 2 2 5" xfId="10380" xr:uid="{32BC56F2-E80F-4001-9753-C68BCE837800}"/>
    <cellStyle name="Normal 4 2 2 4 2 2 3" xfId="1207" xr:uid="{00000000-0005-0000-0000-0000DE040000}"/>
    <cellStyle name="Normal 4 2 2 4 2 2 3 2" xfId="3437" xr:uid="{00000000-0005-0000-0000-0000940D0000}"/>
    <cellStyle name="Normal 4 2 2 4 2 2 3 2 2" xfId="7659" xr:uid="{00000000-0005-0000-0000-0000121E0000}"/>
    <cellStyle name="Normal 4 2 2 4 2 2 3 2 2 2" xfId="17250" xr:uid="{22DD8112-4BE1-4254-AFDB-4247DC2A563C}"/>
    <cellStyle name="Normal 4 2 2 4 2 2 3 2 3" xfId="13029" xr:uid="{0F5FBE24-2DDD-49F5-AA05-FC55F7E4BA3F}"/>
    <cellStyle name="Normal 4 2 2 4 2 2 3 3" xfId="5514" xr:uid="{00000000-0005-0000-0000-0000B1150000}"/>
    <cellStyle name="Normal 4 2 2 4 2 2 3 3 2" xfId="15105" xr:uid="{25DE96B4-90CC-4058-8C69-09874ADCB35F}"/>
    <cellStyle name="Normal 4 2 2 4 2 2 3 4" xfId="10800" xr:uid="{3EC8657C-6BE8-42C6-885E-00718E83FE09}"/>
    <cellStyle name="Normal 4 2 2 4 2 2 4" xfId="1620" xr:uid="{00000000-0005-0000-0000-00007B060000}"/>
    <cellStyle name="Normal 4 2 2 4 2 2 4 2" xfId="3850" xr:uid="{00000000-0005-0000-0000-0000310F0000}"/>
    <cellStyle name="Normal 4 2 2 4 2 2 4 2 2" xfId="8072" xr:uid="{00000000-0005-0000-0000-0000AF1F0000}"/>
    <cellStyle name="Normal 4 2 2 4 2 2 4 2 2 2" xfId="17663" xr:uid="{57F0F978-710E-485C-BC00-75054FDE1ECC}"/>
    <cellStyle name="Normal 4 2 2 4 2 2 4 2 3" xfId="13442" xr:uid="{754387F0-10AC-4DCF-BD6E-C61A7D27746C}"/>
    <cellStyle name="Normal 4 2 2 4 2 2 4 3" xfId="5927" xr:uid="{00000000-0005-0000-0000-00004E170000}"/>
    <cellStyle name="Normal 4 2 2 4 2 2 4 3 2" xfId="15518" xr:uid="{6EC7A8D6-A14E-4FF9-B7D0-CD3989D61044}"/>
    <cellStyle name="Normal 4 2 2 4 2 2 4 4" xfId="11213" xr:uid="{EECA0F86-22A6-4850-8879-0ECE146F4896}"/>
    <cellStyle name="Normal 4 2 2 4 2 2 5" xfId="2034" xr:uid="{00000000-0005-0000-0000-000019080000}"/>
    <cellStyle name="Normal 4 2 2 4 2 2 5 2" xfId="4263" xr:uid="{00000000-0005-0000-0000-0000CE100000}"/>
    <cellStyle name="Normal 4 2 2 4 2 2 5 2 2" xfId="8485" xr:uid="{00000000-0005-0000-0000-00004C210000}"/>
    <cellStyle name="Normal 4 2 2 4 2 2 5 2 2 2" xfId="18076" xr:uid="{8DE5E7B2-336B-40CC-B7B6-7C48C2514B71}"/>
    <cellStyle name="Normal 4 2 2 4 2 2 5 2 3" xfId="13855" xr:uid="{56552D0C-31BA-4385-A044-4C66CFC407AA}"/>
    <cellStyle name="Normal 4 2 2 4 2 2 5 3" xfId="6340" xr:uid="{00000000-0005-0000-0000-0000EB180000}"/>
    <cellStyle name="Normal 4 2 2 4 2 2 5 3 2" xfId="15931" xr:uid="{0A1B80D8-B44F-4D76-B9A6-0A72964C4B5E}"/>
    <cellStyle name="Normal 4 2 2 4 2 2 5 4" xfId="11626" xr:uid="{116D0D64-74C8-4D34-8952-BA9E22B52520}"/>
    <cellStyle name="Normal 4 2 2 4 2 2 6" xfId="2470" xr:uid="{00000000-0005-0000-0000-0000CD090000}"/>
    <cellStyle name="Normal 4 2 2 4 2 2 6 2" xfId="6753" xr:uid="{00000000-0005-0000-0000-0000881A0000}"/>
    <cellStyle name="Normal 4 2 2 4 2 2 6 2 2" xfId="16344" xr:uid="{0D22983D-1016-46A5-946C-18580285F5B1}"/>
    <cellStyle name="Normal 4 2 2 4 2 2 6 3" xfId="12062" xr:uid="{524BD6CA-DFBF-409F-A7DB-D938412F204A}"/>
    <cellStyle name="Normal 4 2 2 4 2 2 7" xfId="4688" xr:uid="{00000000-0005-0000-0000-000077120000}"/>
    <cellStyle name="Normal 4 2 2 4 2 2 7 2" xfId="14279" xr:uid="{7AB2E1FF-24DA-46F8-B617-865E3EFCFC23}"/>
    <cellStyle name="Normal 4 2 2 4 2 2 8" xfId="9089" xr:uid="{00000000-0005-0000-0000-0000A8230000}"/>
    <cellStyle name="Normal 4 2 2 4 2 2 9" xfId="9913" xr:uid="{9CF18714-9D74-4F87-9108-F860E4D3577B}"/>
    <cellStyle name="Normal 4 2 2 4 2 3" xfId="786" xr:uid="{00000000-0005-0000-0000-000039030000}"/>
    <cellStyle name="Normal 4 2 2 4 2 3 2" xfId="3023" xr:uid="{00000000-0005-0000-0000-0000F60B0000}"/>
    <cellStyle name="Normal 4 2 2 4 2 3 2 2" xfId="7245" xr:uid="{00000000-0005-0000-0000-0000741C0000}"/>
    <cellStyle name="Normal 4 2 2 4 2 3 2 2 2" xfId="16836" xr:uid="{EE92C459-6E45-427C-9BF5-7B3DFDDC2E16}"/>
    <cellStyle name="Normal 4 2 2 4 2 3 2 3" xfId="12615" xr:uid="{81B8C700-E3B7-4DFA-9058-C831ECC30024}"/>
    <cellStyle name="Normal 4 2 2 4 2 3 3" xfId="5100" xr:uid="{00000000-0005-0000-0000-000013140000}"/>
    <cellStyle name="Normal 4 2 2 4 2 3 3 2" xfId="14691" xr:uid="{DA3AC204-E1A2-49ED-A70D-CF8E836F08A8}"/>
    <cellStyle name="Normal 4 2 2 4 2 3 4" xfId="9307" xr:uid="{00000000-0005-0000-0000-000082240000}"/>
    <cellStyle name="Normal 4 2 2 4 2 3 5" xfId="10379" xr:uid="{DE4465F0-656E-450F-A05F-7C21B5DE875B}"/>
    <cellStyle name="Normal 4 2 2 4 2 4" xfId="1206" xr:uid="{00000000-0005-0000-0000-0000DD040000}"/>
    <cellStyle name="Normal 4 2 2 4 2 4 2" xfId="3436" xr:uid="{00000000-0005-0000-0000-0000930D0000}"/>
    <cellStyle name="Normal 4 2 2 4 2 4 2 2" xfId="7658" xr:uid="{00000000-0005-0000-0000-0000111E0000}"/>
    <cellStyle name="Normal 4 2 2 4 2 4 2 2 2" xfId="17249" xr:uid="{D93B14B6-1536-4B21-B18D-34C2F090D8AE}"/>
    <cellStyle name="Normal 4 2 2 4 2 4 2 3" xfId="13028" xr:uid="{35F298D0-7310-44A9-B79C-872B625C35E7}"/>
    <cellStyle name="Normal 4 2 2 4 2 4 3" xfId="5513" xr:uid="{00000000-0005-0000-0000-0000B0150000}"/>
    <cellStyle name="Normal 4 2 2 4 2 4 3 2" xfId="15104" xr:uid="{4AD77D86-B234-4A8D-ABBF-65B5D65439F3}"/>
    <cellStyle name="Normal 4 2 2 4 2 4 4" xfId="10799" xr:uid="{C2B9F8E9-CDFB-4F57-900A-44E6C98A903E}"/>
    <cellStyle name="Normal 4 2 2 4 2 5" xfId="1619" xr:uid="{00000000-0005-0000-0000-00007A060000}"/>
    <cellStyle name="Normal 4 2 2 4 2 5 2" xfId="3849" xr:uid="{00000000-0005-0000-0000-0000300F0000}"/>
    <cellStyle name="Normal 4 2 2 4 2 5 2 2" xfId="8071" xr:uid="{00000000-0005-0000-0000-0000AE1F0000}"/>
    <cellStyle name="Normal 4 2 2 4 2 5 2 2 2" xfId="17662" xr:uid="{E7E06741-23DC-44F6-8456-D3E0FC90D42D}"/>
    <cellStyle name="Normal 4 2 2 4 2 5 2 3" xfId="13441" xr:uid="{C63E5CD4-D4AE-4EE8-A460-83C1CA8BD436}"/>
    <cellStyle name="Normal 4 2 2 4 2 5 3" xfId="5926" xr:uid="{00000000-0005-0000-0000-00004D170000}"/>
    <cellStyle name="Normal 4 2 2 4 2 5 3 2" xfId="15517" xr:uid="{88619B11-5717-45AF-96E2-0C47298EBA3A}"/>
    <cellStyle name="Normal 4 2 2 4 2 5 4" xfId="11212" xr:uid="{BD2A55DB-EBC8-46C3-BAB0-4AC4CF6E3DE1}"/>
    <cellStyle name="Normal 4 2 2 4 2 6" xfId="2033" xr:uid="{00000000-0005-0000-0000-000018080000}"/>
    <cellStyle name="Normal 4 2 2 4 2 6 2" xfId="4262" xr:uid="{00000000-0005-0000-0000-0000CD100000}"/>
    <cellStyle name="Normal 4 2 2 4 2 6 2 2" xfId="8484" xr:uid="{00000000-0005-0000-0000-00004B210000}"/>
    <cellStyle name="Normal 4 2 2 4 2 6 2 2 2" xfId="18075" xr:uid="{32330C1A-5E48-4F1C-86D5-D8C0A0057590}"/>
    <cellStyle name="Normal 4 2 2 4 2 6 2 3" xfId="13854" xr:uid="{2A97B9C5-B69F-4AAE-81C1-111C19EC1178}"/>
    <cellStyle name="Normal 4 2 2 4 2 6 3" xfId="6339" xr:uid="{00000000-0005-0000-0000-0000EA180000}"/>
    <cellStyle name="Normal 4 2 2 4 2 6 3 2" xfId="15930" xr:uid="{50AF83A5-36E2-4BBD-9709-AB93599C180B}"/>
    <cellStyle name="Normal 4 2 2 4 2 6 4" xfId="11625" xr:uid="{74E36139-AF4C-4106-BADB-A242B0F77057}"/>
    <cellStyle name="Normal 4 2 2 4 2 7" xfId="2469" xr:uid="{00000000-0005-0000-0000-0000CC090000}"/>
    <cellStyle name="Normal 4 2 2 4 2 7 2" xfId="6752" xr:uid="{00000000-0005-0000-0000-0000871A0000}"/>
    <cellStyle name="Normal 4 2 2 4 2 7 2 2" xfId="16343" xr:uid="{1217D2D9-B2B8-4BAF-8913-77D4CB1C2F53}"/>
    <cellStyle name="Normal 4 2 2 4 2 7 3" xfId="12061" xr:uid="{B507EA70-D8C2-449E-A4EE-F627FF174332}"/>
    <cellStyle name="Normal 4 2 2 4 2 8" xfId="4687" xr:uid="{00000000-0005-0000-0000-000076120000}"/>
    <cellStyle name="Normal 4 2 2 4 2 8 2" xfId="14278" xr:uid="{1D604910-631C-4439-9130-26F4530AC242}"/>
    <cellStyle name="Normal 4 2 2 4 2 9" xfId="8882" xr:uid="{00000000-0005-0000-0000-0000D9220000}"/>
    <cellStyle name="Normal 4 2 2 4 3" xfId="314" xr:uid="{00000000-0005-0000-0000-00005E010000}"/>
    <cellStyle name="Normal 4 2 2 4 3 2" xfId="788" xr:uid="{00000000-0005-0000-0000-00003B030000}"/>
    <cellStyle name="Normal 4 2 2 4 3 2 2" xfId="3025" xr:uid="{00000000-0005-0000-0000-0000F80B0000}"/>
    <cellStyle name="Normal 4 2 2 4 3 2 2 2" xfId="7247" xr:uid="{00000000-0005-0000-0000-0000761C0000}"/>
    <cellStyle name="Normal 4 2 2 4 3 2 2 2 2" xfId="16838" xr:uid="{1B13D4CD-A469-485D-8CA3-E054823364EB}"/>
    <cellStyle name="Normal 4 2 2 4 3 2 2 3" xfId="12617" xr:uid="{FDFC7393-8623-49F3-BA6C-A776DD8DF8CF}"/>
    <cellStyle name="Normal 4 2 2 4 3 2 3" xfId="5102" xr:uid="{00000000-0005-0000-0000-000015140000}"/>
    <cellStyle name="Normal 4 2 2 4 3 2 3 2" xfId="14693" xr:uid="{F19CC291-A680-4CE0-8E6F-E9E2A0E2D426}"/>
    <cellStyle name="Normal 4 2 2 4 3 2 4" xfId="9411" xr:uid="{00000000-0005-0000-0000-0000EA240000}"/>
    <cellStyle name="Normal 4 2 2 4 3 2 5" xfId="10381" xr:uid="{4C4CD9F6-6BCD-43B3-A680-BA5B486B9FA0}"/>
    <cellStyle name="Normal 4 2 2 4 3 3" xfId="1208" xr:uid="{00000000-0005-0000-0000-0000DF040000}"/>
    <cellStyle name="Normal 4 2 2 4 3 3 2" xfId="3438" xr:uid="{00000000-0005-0000-0000-0000950D0000}"/>
    <cellStyle name="Normal 4 2 2 4 3 3 2 2" xfId="7660" xr:uid="{00000000-0005-0000-0000-0000131E0000}"/>
    <cellStyle name="Normal 4 2 2 4 3 3 2 2 2" xfId="17251" xr:uid="{E9CAA297-361E-4DAA-A843-90B0150D7C4C}"/>
    <cellStyle name="Normal 4 2 2 4 3 3 2 3" xfId="13030" xr:uid="{01AE00B1-FD35-4F98-8FA5-668715F824E0}"/>
    <cellStyle name="Normal 4 2 2 4 3 3 3" xfId="5515" xr:uid="{00000000-0005-0000-0000-0000B2150000}"/>
    <cellStyle name="Normal 4 2 2 4 3 3 3 2" xfId="15106" xr:uid="{0106AC43-A6ED-4FA9-B1B8-10F41013F194}"/>
    <cellStyle name="Normal 4 2 2 4 3 3 4" xfId="10801" xr:uid="{CB49577F-7FA7-422D-87B3-37DE3598E2BA}"/>
    <cellStyle name="Normal 4 2 2 4 3 4" xfId="1621" xr:uid="{00000000-0005-0000-0000-00007C060000}"/>
    <cellStyle name="Normal 4 2 2 4 3 4 2" xfId="3851" xr:uid="{00000000-0005-0000-0000-0000320F0000}"/>
    <cellStyle name="Normal 4 2 2 4 3 4 2 2" xfId="8073" xr:uid="{00000000-0005-0000-0000-0000B01F0000}"/>
    <cellStyle name="Normal 4 2 2 4 3 4 2 2 2" xfId="17664" xr:uid="{69CC717C-79A6-4025-B481-C1D2BDBA3DC8}"/>
    <cellStyle name="Normal 4 2 2 4 3 4 2 3" xfId="13443" xr:uid="{3E03961F-736B-4D02-B068-F123DACDAABF}"/>
    <cellStyle name="Normal 4 2 2 4 3 4 3" xfId="5928" xr:uid="{00000000-0005-0000-0000-00004F170000}"/>
    <cellStyle name="Normal 4 2 2 4 3 4 3 2" xfId="15519" xr:uid="{575F2C89-F165-45E2-A8F9-E306D8858331}"/>
    <cellStyle name="Normal 4 2 2 4 3 4 4" xfId="11214" xr:uid="{70734258-26E6-4033-B027-38CBB20AEBA1}"/>
    <cellStyle name="Normal 4 2 2 4 3 5" xfId="2035" xr:uid="{00000000-0005-0000-0000-00001A080000}"/>
    <cellStyle name="Normal 4 2 2 4 3 5 2" xfId="4264" xr:uid="{00000000-0005-0000-0000-0000CF100000}"/>
    <cellStyle name="Normal 4 2 2 4 3 5 2 2" xfId="8486" xr:uid="{00000000-0005-0000-0000-00004D210000}"/>
    <cellStyle name="Normal 4 2 2 4 3 5 2 2 2" xfId="18077" xr:uid="{E42CB3B5-A204-4204-A55E-987040FAD02A}"/>
    <cellStyle name="Normal 4 2 2 4 3 5 2 3" xfId="13856" xr:uid="{63AF303B-8068-4A6F-BD07-831E9BA9793E}"/>
    <cellStyle name="Normal 4 2 2 4 3 5 3" xfId="6341" xr:uid="{00000000-0005-0000-0000-0000EC180000}"/>
    <cellStyle name="Normal 4 2 2 4 3 5 3 2" xfId="15932" xr:uid="{0D3EAE57-1DD6-40D8-94ED-CEAA4879DE43}"/>
    <cellStyle name="Normal 4 2 2 4 3 5 4" xfId="11627" xr:uid="{22B373B0-E875-447C-8442-A73C6E47F0BC}"/>
    <cellStyle name="Normal 4 2 2 4 3 6" xfId="2471" xr:uid="{00000000-0005-0000-0000-0000CE090000}"/>
    <cellStyle name="Normal 4 2 2 4 3 6 2" xfId="6754" xr:uid="{00000000-0005-0000-0000-0000891A0000}"/>
    <cellStyle name="Normal 4 2 2 4 3 6 2 2" xfId="16345" xr:uid="{5A62DE0D-6C96-41BC-A853-741919AA900B}"/>
    <cellStyle name="Normal 4 2 2 4 3 6 3" xfId="12063" xr:uid="{792D1A85-5D49-4CF1-A96F-1B7FCA837F7D}"/>
    <cellStyle name="Normal 4 2 2 4 3 7" xfId="4689" xr:uid="{00000000-0005-0000-0000-000078120000}"/>
    <cellStyle name="Normal 4 2 2 4 3 7 2" xfId="14280" xr:uid="{86DB0641-D62C-4E8B-931F-6B82664984EB}"/>
    <cellStyle name="Normal 4 2 2 4 3 8" xfId="8986" xr:uid="{00000000-0005-0000-0000-000041230000}"/>
    <cellStyle name="Normal 4 2 2 4 3 9" xfId="9914" xr:uid="{5508C1E7-E591-4E2C-977C-E81F71A141A9}"/>
    <cellStyle name="Normal 4 2 2 4 4" xfId="785" xr:uid="{00000000-0005-0000-0000-000038030000}"/>
    <cellStyle name="Normal 4 2 2 4 4 2" xfId="3022" xr:uid="{00000000-0005-0000-0000-0000F50B0000}"/>
    <cellStyle name="Normal 4 2 2 4 4 2 2" xfId="7244" xr:uid="{00000000-0005-0000-0000-0000731C0000}"/>
    <cellStyle name="Normal 4 2 2 4 4 2 2 2" xfId="16835" xr:uid="{7064ED52-56C6-4DCA-9309-94AF57ADF213}"/>
    <cellStyle name="Normal 4 2 2 4 4 2 3" xfId="12614" xr:uid="{4800F25F-897F-4F77-B484-AFD6EC6A6080}"/>
    <cellStyle name="Normal 4 2 2 4 4 3" xfId="5099" xr:uid="{00000000-0005-0000-0000-000012140000}"/>
    <cellStyle name="Normal 4 2 2 4 4 3 2" xfId="14690" xr:uid="{5D6F6C43-90CF-486C-B3A8-2F1E58B153C9}"/>
    <cellStyle name="Normal 4 2 2 4 4 4" xfId="9204" xr:uid="{00000000-0005-0000-0000-00001B240000}"/>
    <cellStyle name="Normal 4 2 2 4 4 5" xfId="10378" xr:uid="{8CD485FD-357D-4439-B42B-ADADC01AE8F6}"/>
    <cellStyle name="Normal 4 2 2 4 5" xfId="1205" xr:uid="{00000000-0005-0000-0000-0000DC040000}"/>
    <cellStyle name="Normal 4 2 2 4 5 2" xfId="3435" xr:uid="{00000000-0005-0000-0000-0000920D0000}"/>
    <cellStyle name="Normal 4 2 2 4 5 2 2" xfId="7657" xr:uid="{00000000-0005-0000-0000-0000101E0000}"/>
    <cellStyle name="Normal 4 2 2 4 5 2 2 2" xfId="17248" xr:uid="{A36C2504-66FD-4A89-BDC5-2F66537CB66F}"/>
    <cellStyle name="Normal 4 2 2 4 5 2 3" xfId="13027" xr:uid="{C83D46A1-F065-4CD2-8983-1EF3EA468FF9}"/>
    <cellStyle name="Normal 4 2 2 4 5 3" xfId="5512" xr:uid="{00000000-0005-0000-0000-0000AF150000}"/>
    <cellStyle name="Normal 4 2 2 4 5 3 2" xfId="15103" xr:uid="{8B03D8F5-81F9-4D47-AF2B-A00381F5A2CA}"/>
    <cellStyle name="Normal 4 2 2 4 5 4" xfId="10798" xr:uid="{0BDC903F-E4E8-4B8A-BA70-F96E40758717}"/>
    <cellStyle name="Normal 4 2 2 4 6" xfId="1618" xr:uid="{00000000-0005-0000-0000-000079060000}"/>
    <cellStyle name="Normal 4 2 2 4 6 2" xfId="3848" xr:uid="{00000000-0005-0000-0000-00002F0F0000}"/>
    <cellStyle name="Normal 4 2 2 4 6 2 2" xfId="8070" xr:uid="{00000000-0005-0000-0000-0000AD1F0000}"/>
    <cellStyle name="Normal 4 2 2 4 6 2 2 2" xfId="17661" xr:uid="{51B0D134-4F22-404B-A88A-271C78F3987E}"/>
    <cellStyle name="Normal 4 2 2 4 6 2 3" xfId="13440" xr:uid="{1B4D7268-299B-4895-81F9-B771E4A32276}"/>
    <cellStyle name="Normal 4 2 2 4 6 3" xfId="5925" xr:uid="{00000000-0005-0000-0000-00004C170000}"/>
    <cellStyle name="Normal 4 2 2 4 6 3 2" xfId="15516" xr:uid="{548BBA22-88BC-4A02-9FEB-B6899FDB2388}"/>
    <cellStyle name="Normal 4 2 2 4 6 4" xfId="11211" xr:uid="{5D4B7F4B-3C5F-4BFF-AE3D-6A0C646C1C35}"/>
    <cellStyle name="Normal 4 2 2 4 7" xfId="2032" xr:uid="{00000000-0005-0000-0000-000017080000}"/>
    <cellStyle name="Normal 4 2 2 4 7 2" xfId="4261" xr:uid="{00000000-0005-0000-0000-0000CC100000}"/>
    <cellStyle name="Normal 4 2 2 4 7 2 2" xfId="8483" xr:uid="{00000000-0005-0000-0000-00004A210000}"/>
    <cellStyle name="Normal 4 2 2 4 7 2 2 2" xfId="18074" xr:uid="{61653E5A-B750-434C-BD00-B4055B9F614D}"/>
    <cellStyle name="Normal 4 2 2 4 7 2 3" xfId="13853" xr:uid="{13F3F2E1-B72A-4B18-A830-0C21AA05122E}"/>
    <cellStyle name="Normal 4 2 2 4 7 3" xfId="6338" xr:uid="{00000000-0005-0000-0000-0000E9180000}"/>
    <cellStyle name="Normal 4 2 2 4 7 3 2" xfId="15929" xr:uid="{81970495-0F6D-44FE-97A1-5143C04F9D9A}"/>
    <cellStyle name="Normal 4 2 2 4 7 4" xfId="11624" xr:uid="{129508C3-59C7-43FB-86CD-D3CEC09E8CE8}"/>
    <cellStyle name="Normal 4 2 2 4 8" xfId="2468" xr:uid="{00000000-0005-0000-0000-0000CB090000}"/>
    <cellStyle name="Normal 4 2 2 4 8 2" xfId="6751" xr:uid="{00000000-0005-0000-0000-0000861A0000}"/>
    <cellStyle name="Normal 4 2 2 4 8 2 2" xfId="16342" xr:uid="{22EC549C-5A9C-41FA-9842-6BA00D5CEFF6}"/>
    <cellStyle name="Normal 4 2 2 4 8 3" xfId="12060" xr:uid="{11B89D40-7DBC-4A81-AE7A-FAC98F927E8D}"/>
    <cellStyle name="Normal 4 2 2 4 9" xfId="4686" xr:uid="{00000000-0005-0000-0000-000075120000}"/>
    <cellStyle name="Normal 4 2 2 4 9 2" xfId="14277" xr:uid="{22F5CF95-244E-49F2-BA84-BB972E3D77D2}"/>
    <cellStyle name="Normal 4 2 2 5" xfId="315" xr:uid="{00000000-0005-0000-0000-00005F010000}"/>
    <cellStyle name="Normal 4 2 2 5 10" xfId="9915" xr:uid="{02AEFF5E-BB50-41AF-A391-D9B40E2429D0}"/>
    <cellStyle name="Normal 4 2 2 5 2" xfId="316" xr:uid="{00000000-0005-0000-0000-000060010000}"/>
    <cellStyle name="Normal 4 2 2 5 2 2" xfId="790" xr:uid="{00000000-0005-0000-0000-00003D030000}"/>
    <cellStyle name="Normal 4 2 2 5 2 2 2" xfId="3027" xr:uid="{00000000-0005-0000-0000-0000FA0B0000}"/>
    <cellStyle name="Normal 4 2 2 5 2 2 2 2" xfId="7249" xr:uid="{00000000-0005-0000-0000-0000781C0000}"/>
    <cellStyle name="Normal 4 2 2 5 2 2 2 2 2" xfId="16840" xr:uid="{B8D6ACEB-DD26-4930-B02F-4585ADA9C337}"/>
    <cellStyle name="Normal 4 2 2 5 2 2 2 3" xfId="12619" xr:uid="{9C75A61C-DA44-4DC5-AC44-DCC0067D526B}"/>
    <cellStyle name="Normal 4 2 2 5 2 2 3" xfId="5104" xr:uid="{00000000-0005-0000-0000-000017140000}"/>
    <cellStyle name="Normal 4 2 2 5 2 2 3 2" xfId="14695" xr:uid="{ADC1835F-B769-4298-A39C-7F47C8A4FAD3}"/>
    <cellStyle name="Normal 4 2 2 5 2 2 4" xfId="9448" xr:uid="{00000000-0005-0000-0000-00000F250000}"/>
    <cellStyle name="Normal 4 2 2 5 2 2 5" xfId="10383" xr:uid="{A33C2294-98E5-48E3-8E5C-7F1036F76F87}"/>
    <cellStyle name="Normal 4 2 2 5 2 3" xfId="1210" xr:uid="{00000000-0005-0000-0000-0000E1040000}"/>
    <cellStyle name="Normal 4 2 2 5 2 3 2" xfId="3440" xr:uid="{00000000-0005-0000-0000-0000970D0000}"/>
    <cellStyle name="Normal 4 2 2 5 2 3 2 2" xfId="7662" xr:uid="{00000000-0005-0000-0000-0000151E0000}"/>
    <cellStyle name="Normal 4 2 2 5 2 3 2 2 2" xfId="17253" xr:uid="{E4F0962F-F3FC-4541-9640-9000D188DF3A}"/>
    <cellStyle name="Normal 4 2 2 5 2 3 2 3" xfId="13032" xr:uid="{DBF7EBB7-4A70-4110-B65F-4247D33D3DB7}"/>
    <cellStyle name="Normal 4 2 2 5 2 3 3" xfId="5517" xr:uid="{00000000-0005-0000-0000-0000B4150000}"/>
    <cellStyle name="Normal 4 2 2 5 2 3 3 2" xfId="15108" xr:uid="{61A874F7-9971-4B3E-9A11-74E639F971E7}"/>
    <cellStyle name="Normal 4 2 2 5 2 3 4" xfId="10803" xr:uid="{B95A2125-9A62-410D-ABBD-D0C07B546F08}"/>
    <cellStyle name="Normal 4 2 2 5 2 4" xfId="1623" xr:uid="{00000000-0005-0000-0000-00007E060000}"/>
    <cellStyle name="Normal 4 2 2 5 2 4 2" xfId="3853" xr:uid="{00000000-0005-0000-0000-0000340F0000}"/>
    <cellStyle name="Normal 4 2 2 5 2 4 2 2" xfId="8075" xr:uid="{00000000-0005-0000-0000-0000B21F0000}"/>
    <cellStyle name="Normal 4 2 2 5 2 4 2 2 2" xfId="17666" xr:uid="{F2D3ED3C-BF92-4426-B6D6-1DC1CEA88210}"/>
    <cellStyle name="Normal 4 2 2 5 2 4 2 3" xfId="13445" xr:uid="{EC6E45FB-F197-43D6-9BDD-D005303FC491}"/>
    <cellStyle name="Normal 4 2 2 5 2 4 3" xfId="5930" xr:uid="{00000000-0005-0000-0000-000051170000}"/>
    <cellStyle name="Normal 4 2 2 5 2 4 3 2" xfId="15521" xr:uid="{3E329439-D953-4093-BE4A-FE5D571D8886}"/>
    <cellStyle name="Normal 4 2 2 5 2 4 4" xfId="11216" xr:uid="{C36871D3-5871-44D2-B8A2-3920C130AFFE}"/>
    <cellStyle name="Normal 4 2 2 5 2 5" xfId="2037" xr:uid="{00000000-0005-0000-0000-00001C080000}"/>
    <cellStyle name="Normal 4 2 2 5 2 5 2" xfId="4266" xr:uid="{00000000-0005-0000-0000-0000D1100000}"/>
    <cellStyle name="Normal 4 2 2 5 2 5 2 2" xfId="8488" xr:uid="{00000000-0005-0000-0000-00004F210000}"/>
    <cellStyle name="Normal 4 2 2 5 2 5 2 2 2" xfId="18079" xr:uid="{C5BE0E70-906F-4389-B10F-E548CBFC701E}"/>
    <cellStyle name="Normal 4 2 2 5 2 5 2 3" xfId="13858" xr:uid="{A206C6C1-98DE-4BE3-83C3-CA9F6B6E0A9F}"/>
    <cellStyle name="Normal 4 2 2 5 2 5 3" xfId="6343" xr:uid="{00000000-0005-0000-0000-0000EE180000}"/>
    <cellStyle name="Normal 4 2 2 5 2 5 3 2" xfId="15934" xr:uid="{384E439B-CC09-47AB-B413-3DA5E93412CA}"/>
    <cellStyle name="Normal 4 2 2 5 2 5 4" xfId="11629" xr:uid="{8B9DCF96-98A1-4344-9B9E-253C551EDFFF}"/>
    <cellStyle name="Normal 4 2 2 5 2 6" xfId="2473" xr:uid="{00000000-0005-0000-0000-0000D0090000}"/>
    <cellStyle name="Normal 4 2 2 5 2 6 2" xfId="6756" xr:uid="{00000000-0005-0000-0000-00008B1A0000}"/>
    <cellStyle name="Normal 4 2 2 5 2 6 2 2" xfId="16347" xr:uid="{108C79D6-9668-408A-8418-A2F165190DF9}"/>
    <cellStyle name="Normal 4 2 2 5 2 6 3" xfId="12065" xr:uid="{D3779714-3E31-4084-B65D-2ECEB958786A}"/>
    <cellStyle name="Normal 4 2 2 5 2 7" xfId="4691" xr:uid="{00000000-0005-0000-0000-00007A120000}"/>
    <cellStyle name="Normal 4 2 2 5 2 7 2" xfId="14282" xr:uid="{D63BED86-8FC1-4995-BC21-B76DF0F2FF36}"/>
    <cellStyle name="Normal 4 2 2 5 2 8" xfId="9023" xr:uid="{00000000-0005-0000-0000-000066230000}"/>
    <cellStyle name="Normal 4 2 2 5 2 9" xfId="9916" xr:uid="{3634420D-EB38-472A-A319-005F610BA3FA}"/>
    <cellStyle name="Normal 4 2 2 5 3" xfId="789" xr:uid="{00000000-0005-0000-0000-00003C030000}"/>
    <cellStyle name="Normal 4 2 2 5 3 2" xfId="3026" xr:uid="{00000000-0005-0000-0000-0000F90B0000}"/>
    <cellStyle name="Normal 4 2 2 5 3 2 2" xfId="7248" xr:uid="{00000000-0005-0000-0000-0000771C0000}"/>
    <cellStyle name="Normal 4 2 2 5 3 2 2 2" xfId="16839" xr:uid="{74911D96-54A4-4BD0-ABDD-9968C779CF81}"/>
    <cellStyle name="Normal 4 2 2 5 3 2 3" xfId="12618" xr:uid="{4D019BAD-FF0A-439E-B7AB-9672385B667F}"/>
    <cellStyle name="Normal 4 2 2 5 3 3" xfId="5103" xr:uid="{00000000-0005-0000-0000-000016140000}"/>
    <cellStyle name="Normal 4 2 2 5 3 3 2" xfId="14694" xr:uid="{5CD67A12-21B7-4857-9FCD-D9C053C71503}"/>
    <cellStyle name="Normal 4 2 2 5 3 4" xfId="9241" xr:uid="{00000000-0005-0000-0000-000040240000}"/>
    <cellStyle name="Normal 4 2 2 5 3 5" xfId="10382" xr:uid="{364648C3-F35C-4506-9D30-94557D7E9B50}"/>
    <cellStyle name="Normal 4 2 2 5 4" xfId="1209" xr:uid="{00000000-0005-0000-0000-0000E0040000}"/>
    <cellStyle name="Normal 4 2 2 5 4 2" xfId="3439" xr:uid="{00000000-0005-0000-0000-0000960D0000}"/>
    <cellStyle name="Normal 4 2 2 5 4 2 2" xfId="7661" xr:uid="{00000000-0005-0000-0000-0000141E0000}"/>
    <cellStyle name="Normal 4 2 2 5 4 2 2 2" xfId="17252" xr:uid="{D2839814-54B1-4250-AD40-9C728901DDD8}"/>
    <cellStyle name="Normal 4 2 2 5 4 2 3" xfId="13031" xr:uid="{8F18235B-B0F6-4EDA-BDC7-53C959AB3EF2}"/>
    <cellStyle name="Normal 4 2 2 5 4 3" xfId="5516" xr:uid="{00000000-0005-0000-0000-0000B3150000}"/>
    <cellStyle name="Normal 4 2 2 5 4 3 2" xfId="15107" xr:uid="{54BFA08B-D54B-4A00-BA55-9EE23679C6D1}"/>
    <cellStyle name="Normal 4 2 2 5 4 4" xfId="10802" xr:uid="{CEC6923B-A1D4-4B8B-8ED5-0FCE111F7D6B}"/>
    <cellStyle name="Normal 4 2 2 5 5" xfId="1622" xr:uid="{00000000-0005-0000-0000-00007D060000}"/>
    <cellStyle name="Normal 4 2 2 5 5 2" xfId="3852" xr:uid="{00000000-0005-0000-0000-0000330F0000}"/>
    <cellStyle name="Normal 4 2 2 5 5 2 2" xfId="8074" xr:uid="{00000000-0005-0000-0000-0000B11F0000}"/>
    <cellStyle name="Normal 4 2 2 5 5 2 2 2" xfId="17665" xr:uid="{1217AA91-82E0-4081-915A-73CEC480E23E}"/>
    <cellStyle name="Normal 4 2 2 5 5 2 3" xfId="13444" xr:uid="{EAAA36E8-1483-4D96-8B42-A5959AB1D10F}"/>
    <cellStyle name="Normal 4 2 2 5 5 3" xfId="5929" xr:uid="{00000000-0005-0000-0000-000050170000}"/>
    <cellStyle name="Normal 4 2 2 5 5 3 2" xfId="15520" xr:uid="{7172541E-59DF-43DE-880B-0F4B14536A22}"/>
    <cellStyle name="Normal 4 2 2 5 5 4" xfId="11215" xr:uid="{EFC63511-24AC-4CA2-BBA9-F288C5306502}"/>
    <cellStyle name="Normal 4 2 2 5 6" xfId="2036" xr:uid="{00000000-0005-0000-0000-00001B080000}"/>
    <cellStyle name="Normal 4 2 2 5 6 2" xfId="4265" xr:uid="{00000000-0005-0000-0000-0000D0100000}"/>
    <cellStyle name="Normal 4 2 2 5 6 2 2" xfId="8487" xr:uid="{00000000-0005-0000-0000-00004E210000}"/>
    <cellStyle name="Normal 4 2 2 5 6 2 2 2" xfId="18078" xr:uid="{308DA7A1-8C4A-4320-A6A5-440B86B9E7DF}"/>
    <cellStyle name="Normal 4 2 2 5 6 2 3" xfId="13857" xr:uid="{D6496E89-65C9-46F2-B413-646128DD2562}"/>
    <cellStyle name="Normal 4 2 2 5 6 3" xfId="6342" xr:uid="{00000000-0005-0000-0000-0000ED180000}"/>
    <cellStyle name="Normal 4 2 2 5 6 3 2" xfId="15933" xr:uid="{FBC67FB5-5EA6-45BB-9F8B-2DF7F9B5AA98}"/>
    <cellStyle name="Normal 4 2 2 5 6 4" xfId="11628" xr:uid="{095E0389-7615-4EA5-9D51-E8A46DDB6439}"/>
    <cellStyle name="Normal 4 2 2 5 7" xfId="2472" xr:uid="{00000000-0005-0000-0000-0000CF090000}"/>
    <cellStyle name="Normal 4 2 2 5 7 2" xfId="6755" xr:uid="{00000000-0005-0000-0000-00008A1A0000}"/>
    <cellStyle name="Normal 4 2 2 5 7 2 2" xfId="16346" xr:uid="{612DF9E3-090C-4B33-B25A-E6B07C0C1E56}"/>
    <cellStyle name="Normal 4 2 2 5 7 3" xfId="12064" xr:uid="{EF0009D5-FD31-49ED-8260-591696D0D2C8}"/>
    <cellStyle name="Normal 4 2 2 5 8" xfId="4690" xr:uid="{00000000-0005-0000-0000-000079120000}"/>
    <cellStyle name="Normal 4 2 2 5 8 2" xfId="14281" xr:uid="{32B2AEDF-7C03-488F-9836-0D3F471DA90A}"/>
    <cellStyle name="Normal 4 2 2 5 9" xfId="8816" xr:uid="{00000000-0005-0000-0000-000097220000}"/>
    <cellStyle name="Normal 4 2 2 6" xfId="317" xr:uid="{00000000-0005-0000-0000-000061010000}"/>
    <cellStyle name="Normal 4 2 2 6 2" xfId="791" xr:uid="{00000000-0005-0000-0000-00003E030000}"/>
    <cellStyle name="Normal 4 2 2 6 2 2" xfId="3028" xr:uid="{00000000-0005-0000-0000-0000FB0B0000}"/>
    <cellStyle name="Normal 4 2 2 6 2 2 2" xfId="7250" xr:uid="{00000000-0005-0000-0000-0000791C0000}"/>
    <cellStyle name="Normal 4 2 2 6 2 2 2 2" xfId="16841" xr:uid="{335748CB-F311-45AF-A768-67D40AAD36B2}"/>
    <cellStyle name="Normal 4 2 2 6 2 2 3" xfId="12620" xr:uid="{17F0E340-262E-4A80-B8DD-DC3B4BE6BCFC}"/>
    <cellStyle name="Normal 4 2 2 6 2 3" xfId="5105" xr:uid="{00000000-0005-0000-0000-000018140000}"/>
    <cellStyle name="Normal 4 2 2 6 2 3 2" xfId="14696" xr:uid="{F1539825-E37B-4E9B-9CC9-A40C89844E9F}"/>
    <cellStyle name="Normal 4 2 2 6 2 4" xfId="9357" xr:uid="{00000000-0005-0000-0000-0000B4240000}"/>
    <cellStyle name="Normal 4 2 2 6 2 5" xfId="10384" xr:uid="{CF04A0F8-0DD1-4214-8895-F94CFE5B5BFB}"/>
    <cellStyle name="Normal 4 2 2 6 3" xfId="1211" xr:uid="{00000000-0005-0000-0000-0000E2040000}"/>
    <cellStyle name="Normal 4 2 2 6 3 2" xfId="3441" xr:uid="{00000000-0005-0000-0000-0000980D0000}"/>
    <cellStyle name="Normal 4 2 2 6 3 2 2" xfId="7663" xr:uid="{00000000-0005-0000-0000-0000161E0000}"/>
    <cellStyle name="Normal 4 2 2 6 3 2 2 2" xfId="17254" xr:uid="{749FCAD4-ACB5-4872-AFBD-117FD1ED16DB}"/>
    <cellStyle name="Normal 4 2 2 6 3 2 3" xfId="13033" xr:uid="{509C292A-8B26-4FEB-9DF1-E68EE956CC12}"/>
    <cellStyle name="Normal 4 2 2 6 3 3" xfId="5518" xr:uid="{00000000-0005-0000-0000-0000B5150000}"/>
    <cellStyle name="Normal 4 2 2 6 3 3 2" xfId="15109" xr:uid="{F94A7B0A-8E1C-45F5-B891-DB4FABDC1C6D}"/>
    <cellStyle name="Normal 4 2 2 6 3 4" xfId="10804" xr:uid="{4EF843CF-6ECE-41D0-88E6-8B4E31DBDB44}"/>
    <cellStyle name="Normal 4 2 2 6 4" xfId="1624" xr:uid="{00000000-0005-0000-0000-00007F060000}"/>
    <cellStyle name="Normal 4 2 2 6 4 2" xfId="3854" xr:uid="{00000000-0005-0000-0000-0000350F0000}"/>
    <cellStyle name="Normal 4 2 2 6 4 2 2" xfId="8076" xr:uid="{00000000-0005-0000-0000-0000B31F0000}"/>
    <cellStyle name="Normal 4 2 2 6 4 2 2 2" xfId="17667" xr:uid="{12570554-AA2B-42A6-B398-C7932B23422A}"/>
    <cellStyle name="Normal 4 2 2 6 4 2 3" xfId="13446" xr:uid="{F63C055C-C4E5-4A58-B1C8-AA93C7019C27}"/>
    <cellStyle name="Normal 4 2 2 6 4 3" xfId="5931" xr:uid="{00000000-0005-0000-0000-000052170000}"/>
    <cellStyle name="Normal 4 2 2 6 4 3 2" xfId="15522" xr:uid="{1B641D5D-2C94-4B95-9CFA-A6D1D04DC841}"/>
    <cellStyle name="Normal 4 2 2 6 4 4" xfId="11217" xr:uid="{792A0A64-8E27-4C73-A529-AA5C1129C560}"/>
    <cellStyle name="Normal 4 2 2 6 5" xfId="2038" xr:uid="{00000000-0005-0000-0000-00001D080000}"/>
    <cellStyle name="Normal 4 2 2 6 5 2" xfId="4267" xr:uid="{00000000-0005-0000-0000-0000D2100000}"/>
    <cellStyle name="Normal 4 2 2 6 5 2 2" xfId="8489" xr:uid="{00000000-0005-0000-0000-000050210000}"/>
    <cellStyle name="Normal 4 2 2 6 5 2 2 2" xfId="18080" xr:uid="{30D02DFC-CE93-4D58-BC7B-DEAAFF1CBA5F}"/>
    <cellStyle name="Normal 4 2 2 6 5 2 3" xfId="13859" xr:uid="{FEB298F6-809D-47B9-B83C-6F9651CC4991}"/>
    <cellStyle name="Normal 4 2 2 6 5 3" xfId="6344" xr:uid="{00000000-0005-0000-0000-0000EF180000}"/>
    <cellStyle name="Normal 4 2 2 6 5 3 2" xfId="15935" xr:uid="{8EB77149-51CA-44D5-BED6-18DBE607E1CD}"/>
    <cellStyle name="Normal 4 2 2 6 5 4" xfId="11630" xr:uid="{4B4730A4-9BA7-421E-ABBA-1B055B1F7FDC}"/>
    <cellStyle name="Normal 4 2 2 6 6" xfId="2474" xr:uid="{00000000-0005-0000-0000-0000D1090000}"/>
    <cellStyle name="Normal 4 2 2 6 6 2" xfId="6757" xr:uid="{00000000-0005-0000-0000-00008C1A0000}"/>
    <cellStyle name="Normal 4 2 2 6 6 2 2" xfId="16348" xr:uid="{AE80A114-3588-4A63-BF21-8A191600E625}"/>
    <cellStyle name="Normal 4 2 2 6 6 3" xfId="12066" xr:uid="{4DACA742-8B3F-450C-B9B5-9D2EADE30727}"/>
    <cellStyle name="Normal 4 2 2 6 7" xfId="4692" xr:uid="{00000000-0005-0000-0000-00007B120000}"/>
    <cellStyle name="Normal 4 2 2 6 7 2" xfId="14283" xr:uid="{0CC26B39-1C24-4626-A1AD-29E2031B5D4F}"/>
    <cellStyle name="Normal 4 2 2 6 8" xfId="8932" xr:uid="{00000000-0005-0000-0000-00000B230000}"/>
    <cellStyle name="Normal 4 2 2 6 9" xfId="9917" xr:uid="{E024F5EA-C94D-4B84-8B9E-4FCAED692294}"/>
    <cellStyle name="Normal 4 2 2 7" xfId="776" xr:uid="{00000000-0005-0000-0000-00002F030000}"/>
    <cellStyle name="Normal 4 2 2 7 2" xfId="3013" xr:uid="{00000000-0005-0000-0000-0000EC0B0000}"/>
    <cellStyle name="Normal 4 2 2 7 2 2" xfId="7235" xr:uid="{00000000-0005-0000-0000-00006A1C0000}"/>
    <cellStyle name="Normal 4 2 2 7 2 2 2" xfId="16826" xr:uid="{FE9049FF-9F59-40B6-9B1F-7AA62491E11E}"/>
    <cellStyle name="Normal 4 2 2 7 2 3" xfId="12605" xr:uid="{DF413EF7-8F1D-42BC-B252-08C8B2E58505}"/>
    <cellStyle name="Normal 4 2 2 7 3" xfId="5090" xr:uid="{00000000-0005-0000-0000-000009140000}"/>
    <cellStyle name="Normal 4 2 2 7 3 2" xfId="14681" xr:uid="{2D2DDE41-B523-4095-976E-871D9006F65F}"/>
    <cellStyle name="Normal 4 2 2 7 4" xfId="9135" xr:uid="{00000000-0005-0000-0000-0000D6230000}"/>
    <cellStyle name="Normal 4 2 2 7 5" xfId="10369" xr:uid="{F8F236DB-ABD0-419C-B6D3-226A08A22955}"/>
    <cellStyle name="Normal 4 2 2 8" xfId="1196" xr:uid="{00000000-0005-0000-0000-0000D3040000}"/>
    <cellStyle name="Normal 4 2 2 8 2" xfId="3426" xr:uid="{00000000-0005-0000-0000-0000890D0000}"/>
    <cellStyle name="Normal 4 2 2 8 2 2" xfId="7648" xr:uid="{00000000-0005-0000-0000-0000071E0000}"/>
    <cellStyle name="Normal 4 2 2 8 2 2 2" xfId="17239" xr:uid="{0717D5E6-D7D1-4716-9ECC-73BCA747DC82}"/>
    <cellStyle name="Normal 4 2 2 8 2 3" xfId="13018" xr:uid="{0EEA0E7F-F110-4712-B4B0-A6D086F3F2B8}"/>
    <cellStyle name="Normal 4 2 2 8 3" xfId="5503" xr:uid="{00000000-0005-0000-0000-0000A6150000}"/>
    <cellStyle name="Normal 4 2 2 8 3 2" xfId="15094" xr:uid="{5E5F32B9-5930-442C-9CCD-080345C7768F}"/>
    <cellStyle name="Normal 4 2 2 8 4" xfId="10789" xr:uid="{BEF70D97-1AA9-445D-95FD-579CFA77B396}"/>
    <cellStyle name="Normal 4 2 2 9" xfId="1609" xr:uid="{00000000-0005-0000-0000-000070060000}"/>
    <cellStyle name="Normal 4 2 2 9 2" xfId="3839" xr:uid="{00000000-0005-0000-0000-0000260F0000}"/>
    <cellStyle name="Normal 4 2 2 9 2 2" xfId="8061" xr:uid="{00000000-0005-0000-0000-0000A41F0000}"/>
    <cellStyle name="Normal 4 2 2 9 2 2 2" xfId="17652" xr:uid="{32E390EC-EAAD-4EE1-BC01-F6D9A68AB6B1}"/>
    <cellStyle name="Normal 4 2 2 9 2 3" xfId="13431" xr:uid="{68FB186E-798A-4793-9A47-889E8DA33D84}"/>
    <cellStyle name="Normal 4 2 2 9 3" xfId="5916" xr:uid="{00000000-0005-0000-0000-000043170000}"/>
    <cellStyle name="Normal 4 2 2 9 3 2" xfId="15507" xr:uid="{A40FD421-9B4E-4637-8A56-06E49E8E5145}"/>
    <cellStyle name="Normal 4 2 2 9 4" xfId="11202" xr:uid="{A1EBA397-443C-439B-BFBD-CB63C5A8C6EE}"/>
    <cellStyle name="Normal 4 2 3" xfId="318" xr:uid="{00000000-0005-0000-0000-000062010000}"/>
    <cellStyle name="Normal 4 2 4" xfId="319" xr:uid="{00000000-0005-0000-0000-000063010000}"/>
    <cellStyle name="Normal 4 2 4 10" xfId="4693" xr:uid="{00000000-0005-0000-0000-00007C120000}"/>
    <cellStyle name="Normal 4 2 4 10 2" xfId="14284" xr:uid="{3FDAD38E-813F-45BD-821F-A822319C40EC}"/>
    <cellStyle name="Normal 4 2 4 11" xfId="8736" xr:uid="{00000000-0005-0000-0000-000047220000}"/>
    <cellStyle name="Normal 4 2 4 12" xfId="9918" xr:uid="{59D0FA52-D7EA-4133-A390-F2B860F31FF8}"/>
    <cellStyle name="Normal 4 2 4 2" xfId="320" xr:uid="{00000000-0005-0000-0000-000064010000}"/>
    <cellStyle name="Normal 4 2 4 2 10" xfId="8781" xr:uid="{00000000-0005-0000-0000-000074220000}"/>
    <cellStyle name="Normal 4 2 4 2 11" xfId="9919" xr:uid="{B8800C50-C8B2-42AE-9F64-C8894597264C}"/>
    <cellStyle name="Normal 4 2 4 2 2" xfId="321" xr:uid="{00000000-0005-0000-0000-000065010000}"/>
    <cellStyle name="Normal 4 2 4 2 2 10" xfId="9920" xr:uid="{32C904F4-61CC-4823-B004-81FD48185B51}"/>
    <cellStyle name="Normal 4 2 4 2 2 2" xfId="322" xr:uid="{00000000-0005-0000-0000-000066010000}"/>
    <cellStyle name="Normal 4 2 4 2 2 2 2" xfId="795" xr:uid="{00000000-0005-0000-0000-000042030000}"/>
    <cellStyle name="Normal 4 2 4 2 2 2 2 2" xfId="3032" xr:uid="{00000000-0005-0000-0000-0000FF0B0000}"/>
    <cellStyle name="Normal 4 2 4 2 2 2 2 2 2" xfId="7254" xr:uid="{00000000-0005-0000-0000-00007D1C0000}"/>
    <cellStyle name="Normal 4 2 4 2 2 2 2 2 2 2" xfId="16845" xr:uid="{3CB1A79F-A7B9-4B52-BD25-EEC614294EFE}"/>
    <cellStyle name="Normal 4 2 4 2 2 2 2 2 3" xfId="12624" xr:uid="{FB2EFD3B-9FAD-4606-BC92-99709013BA63}"/>
    <cellStyle name="Normal 4 2 4 2 2 2 2 3" xfId="5109" xr:uid="{00000000-0005-0000-0000-00001C140000}"/>
    <cellStyle name="Normal 4 2 4 2 2 2 2 3 2" xfId="14700" xr:uid="{BD83AA11-DA6C-4C40-B93E-1ADE947ABE3B}"/>
    <cellStyle name="Normal 4 2 4 2 2 2 2 4" xfId="9516" xr:uid="{00000000-0005-0000-0000-000053250000}"/>
    <cellStyle name="Normal 4 2 4 2 2 2 2 5" xfId="10388" xr:uid="{961ECE8D-5439-4D89-9806-46A6F8621754}"/>
    <cellStyle name="Normal 4 2 4 2 2 2 3" xfId="1215" xr:uid="{00000000-0005-0000-0000-0000E6040000}"/>
    <cellStyle name="Normal 4 2 4 2 2 2 3 2" xfId="3445" xr:uid="{00000000-0005-0000-0000-00009C0D0000}"/>
    <cellStyle name="Normal 4 2 4 2 2 2 3 2 2" xfId="7667" xr:uid="{00000000-0005-0000-0000-00001A1E0000}"/>
    <cellStyle name="Normal 4 2 4 2 2 2 3 2 2 2" xfId="17258" xr:uid="{F8A65AFD-45C0-4D45-A13B-17F936B2515A}"/>
    <cellStyle name="Normal 4 2 4 2 2 2 3 2 3" xfId="13037" xr:uid="{62A4E18C-8634-4DA9-8B4D-D6268968B688}"/>
    <cellStyle name="Normal 4 2 4 2 2 2 3 3" xfId="5522" xr:uid="{00000000-0005-0000-0000-0000B9150000}"/>
    <cellStyle name="Normal 4 2 4 2 2 2 3 3 2" xfId="15113" xr:uid="{A5A902CE-F4AF-43FE-96ED-5AEBD034A543}"/>
    <cellStyle name="Normal 4 2 4 2 2 2 3 4" xfId="10808" xr:uid="{99014041-3C60-4038-952B-5877299DBCFE}"/>
    <cellStyle name="Normal 4 2 4 2 2 2 4" xfId="1628" xr:uid="{00000000-0005-0000-0000-000083060000}"/>
    <cellStyle name="Normal 4 2 4 2 2 2 4 2" xfId="3858" xr:uid="{00000000-0005-0000-0000-0000390F0000}"/>
    <cellStyle name="Normal 4 2 4 2 2 2 4 2 2" xfId="8080" xr:uid="{00000000-0005-0000-0000-0000B71F0000}"/>
    <cellStyle name="Normal 4 2 4 2 2 2 4 2 2 2" xfId="17671" xr:uid="{C0FE3C73-9F77-4BCA-8352-46796661F4BE}"/>
    <cellStyle name="Normal 4 2 4 2 2 2 4 2 3" xfId="13450" xr:uid="{80B93978-B516-4EE1-ABBE-7350F817825F}"/>
    <cellStyle name="Normal 4 2 4 2 2 2 4 3" xfId="5935" xr:uid="{00000000-0005-0000-0000-000056170000}"/>
    <cellStyle name="Normal 4 2 4 2 2 2 4 3 2" xfId="15526" xr:uid="{FA1EE42A-9747-4B3E-867F-C9E4414893EA}"/>
    <cellStyle name="Normal 4 2 4 2 2 2 4 4" xfId="11221" xr:uid="{2FB6ED86-21A6-4B63-9E70-857DF51ACAC8}"/>
    <cellStyle name="Normal 4 2 4 2 2 2 5" xfId="2042" xr:uid="{00000000-0005-0000-0000-000021080000}"/>
    <cellStyle name="Normal 4 2 4 2 2 2 5 2" xfId="4271" xr:uid="{00000000-0005-0000-0000-0000D6100000}"/>
    <cellStyle name="Normal 4 2 4 2 2 2 5 2 2" xfId="8493" xr:uid="{00000000-0005-0000-0000-000054210000}"/>
    <cellStyle name="Normal 4 2 4 2 2 2 5 2 2 2" xfId="18084" xr:uid="{58699592-FD17-4205-9AF9-C2863999BD27}"/>
    <cellStyle name="Normal 4 2 4 2 2 2 5 2 3" xfId="13863" xr:uid="{45D0414F-08A4-43FD-B942-0FD0D69FE6FB}"/>
    <cellStyle name="Normal 4 2 4 2 2 2 5 3" xfId="6348" xr:uid="{00000000-0005-0000-0000-0000F3180000}"/>
    <cellStyle name="Normal 4 2 4 2 2 2 5 3 2" xfId="15939" xr:uid="{90E81A36-4C51-4009-8F97-C76D1D00E24C}"/>
    <cellStyle name="Normal 4 2 4 2 2 2 5 4" xfId="11634" xr:uid="{BD6F59AC-1E74-45CE-BA2E-C7A0332158ED}"/>
    <cellStyle name="Normal 4 2 4 2 2 2 6" xfId="2478" xr:uid="{00000000-0005-0000-0000-0000D5090000}"/>
    <cellStyle name="Normal 4 2 4 2 2 2 6 2" xfId="6761" xr:uid="{00000000-0005-0000-0000-0000901A0000}"/>
    <cellStyle name="Normal 4 2 4 2 2 2 6 2 2" xfId="16352" xr:uid="{EE5CD5D6-AEE8-4818-8FF5-C8C8BD7C8111}"/>
    <cellStyle name="Normal 4 2 4 2 2 2 6 3" xfId="12070" xr:uid="{8216DFD7-53CB-4AA2-9006-F921A6358F79}"/>
    <cellStyle name="Normal 4 2 4 2 2 2 7" xfId="4696" xr:uid="{00000000-0005-0000-0000-00007F120000}"/>
    <cellStyle name="Normal 4 2 4 2 2 2 7 2" xfId="14287" xr:uid="{27A54DE0-2301-4C51-8A87-2A948BD97D40}"/>
    <cellStyle name="Normal 4 2 4 2 2 2 8" xfId="9091" xr:uid="{00000000-0005-0000-0000-0000AA230000}"/>
    <cellStyle name="Normal 4 2 4 2 2 2 9" xfId="9921" xr:uid="{A54BEB61-BF06-457F-993F-A722A9C3396A}"/>
    <cellStyle name="Normal 4 2 4 2 2 3" xfId="794" xr:uid="{00000000-0005-0000-0000-000041030000}"/>
    <cellStyle name="Normal 4 2 4 2 2 3 2" xfId="3031" xr:uid="{00000000-0005-0000-0000-0000FE0B0000}"/>
    <cellStyle name="Normal 4 2 4 2 2 3 2 2" xfId="7253" xr:uid="{00000000-0005-0000-0000-00007C1C0000}"/>
    <cellStyle name="Normal 4 2 4 2 2 3 2 2 2" xfId="16844" xr:uid="{892B01E7-23AD-4EB7-918E-72AB7144DC33}"/>
    <cellStyle name="Normal 4 2 4 2 2 3 2 3" xfId="12623" xr:uid="{ABAB4BD5-BBA0-4531-9B11-417DC8EAB874}"/>
    <cellStyle name="Normal 4 2 4 2 2 3 3" xfId="5108" xr:uid="{00000000-0005-0000-0000-00001B140000}"/>
    <cellStyle name="Normal 4 2 4 2 2 3 3 2" xfId="14699" xr:uid="{7E1C2DFF-7841-49D4-9509-97BAFA3E9258}"/>
    <cellStyle name="Normal 4 2 4 2 2 3 4" xfId="9309" xr:uid="{00000000-0005-0000-0000-000084240000}"/>
    <cellStyle name="Normal 4 2 4 2 2 3 5" xfId="10387" xr:uid="{AC6480A5-48AB-49AF-B131-68325E683CA4}"/>
    <cellStyle name="Normal 4 2 4 2 2 4" xfId="1214" xr:uid="{00000000-0005-0000-0000-0000E5040000}"/>
    <cellStyle name="Normal 4 2 4 2 2 4 2" xfId="3444" xr:uid="{00000000-0005-0000-0000-00009B0D0000}"/>
    <cellStyle name="Normal 4 2 4 2 2 4 2 2" xfId="7666" xr:uid="{00000000-0005-0000-0000-0000191E0000}"/>
    <cellStyle name="Normal 4 2 4 2 2 4 2 2 2" xfId="17257" xr:uid="{A6029E28-0F20-4ECD-B18A-137C24EB4A74}"/>
    <cellStyle name="Normal 4 2 4 2 2 4 2 3" xfId="13036" xr:uid="{DC8B7F1B-A486-4CD3-B6C4-7D6586065FB1}"/>
    <cellStyle name="Normal 4 2 4 2 2 4 3" xfId="5521" xr:uid="{00000000-0005-0000-0000-0000B8150000}"/>
    <cellStyle name="Normal 4 2 4 2 2 4 3 2" xfId="15112" xr:uid="{7C47F115-F20B-4114-99C9-4C2091716837}"/>
    <cellStyle name="Normal 4 2 4 2 2 4 4" xfId="10807" xr:uid="{1E53CC1A-688E-4833-84A8-6E318B39A0AB}"/>
    <cellStyle name="Normal 4 2 4 2 2 5" xfId="1627" xr:uid="{00000000-0005-0000-0000-000082060000}"/>
    <cellStyle name="Normal 4 2 4 2 2 5 2" xfId="3857" xr:uid="{00000000-0005-0000-0000-0000380F0000}"/>
    <cellStyle name="Normal 4 2 4 2 2 5 2 2" xfId="8079" xr:uid="{00000000-0005-0000-0000-0000B61F0000}"/>
    <cellStyle name="Normal 4 2 4 2 2 5 2 2 2" xfId="17670" xr:uid="{8018227F-6C08-47AC-83BF-D6E250AC62FF}"/>
    <cellStyle name="Normal 4 2 4 2 2 5 2 3" xfId="13449" xr:uid="{930B0133-B8F4-40FA-94AF-515C0621D9F5}"/>
    <cellStyle name="Normal 4 2 4 2 2 5 3" xfId="5934" xr:uid="{00000000-0005-0000-0000-000055170000}"/>
    <cellStyle name="Normal 4 2 4 2 2 5 3 2" xfId="15525" xr:uid="{61ECF830-D085-4563-8AA5-7E891830B4BE}"/>
    <cellStyle name="Normal 4 2 4 2 2 5 4" xfId="11220" xr:uid="{963167EA-6EE6-41F6-8E18-89BDE6F50B48}"/>
    <cellStyle name="Normal 4 2 4 2 2 6" xfId="2041" xr:uid="{00000000-0005-0000-0000-000020080000}"/>
    <cellStyle name="Normal 4 2 4 2 2 6 2" xfId="4270" xr:uid="{00000000-0005-0000-0000-0000D5100000}"/>
    <cellStyle name="Normal 4 2 4 2 2 6 2 2" xfId="8492" xr:uid="{00000000-0005-0000-0000-000053210000}"/>
    <cellStyle name="Normal 4 2 4 2 2 6 2 2 2" xfId="18083" xr:uid="{12690F41-D14D-4970-834A-53807E22D5A6}"/>
    <cellStyle name="Normal 4 2 4 2 2 6 2 3" xfId="13862" xr:uid="{06483050-F1B3-4A3B-B5AA-145300847515}"/>
    <cellStyle name="Normal 4 2 4 2 2 6 3" xfId="6347" xr:uid="{00000000-0005-0000-0000-0000F2180000}"/>
    <cellStyle name="Normal 4 2 4 2 2 6 3 2" xfId="15938" xr:uid="{185E7624-F52B-4DE1-98FB-60B0338F3D7B}"/>
    <cellStyle name="Normal 4 2 4 2 2 6 4" xfId="11633" xr:uid="{58256514-AB99-49BB-89B8-832677033C5C}"/>
    <cellStyle name="Normal 4 2 4 2 2 7" xfId="2477" xr:uid="{00000000-0005-0000-0000-0000D4090000}"/>
    <cellStyle name="Normal 4 2 4 2 2 7 2" xfId="6760" xr:uid="{00000000-0005-0000-0000-00008F1A0000}"/>
    <cellStyle name="Normal 4 2 4 2 2 7 2 2" xfId="16351" xr:uid="{8389AED2-2278-42AB-81BC-E2788900DDC9}"/>
    <cellStyle name="Normal 4 2 4 2 2 7 3" xfId="12069" xr:uid="{EB7D19CB-A24C-4412-8DD9-3C3F6D75A26C}"/>
    <cellStyle name="Normal 4 2 4 2 2 8" xfId="4695" xr:uid="{00000000-0005-0000-0000-00007E120000}"/>
    <cellStyle name="Normal 4 2 4 2 2 8 2" xfId="14286" xr:uid="{E3F77D26-8F0B-4D80-935C-7B983EA75259}"/>
    <cellStyle name="Normal 4 2 4 2 2 9" xfId="8884" xr:uid="{00000000-0005-0000-0000-0000DB220000}"/>
    <cellStyle name="Normal 4 2 4 2 3" xfId="323" xr:uid="{00000000-0005-0000-0000-000067010000}"/>
    <cellStyle name="Normal 4 2 4 2 3 2" xfId="796" xr:uid="{00000000-0005-0000-0000-000043030000}"/>
    <cellStyle name="Normal 4 2 4 2 3 2 2" xfId="3033" xr:uid="{00000000-0005-0000-0000-0000000C0000}"/>
    <cellStyle name="Normal 4 2 4 2 3 2 2 2" xfId="7255" xr:uid="{00000000-0005-0000-0000-00007E1C0000}"/>
    <cellStyle name="Normal 4 2 4 2 3 2 2 2 2" xfId="16846" xr:uid="{1CFF7FBF-ADF5-42CE-AF79-C350E9197147}"/>
    <cellStyle name="Normal 4 2 4 2 3 2 2 3" xfId="12625" xr:uid="{CA28F456-DE48-40B4-8F04-4B943CCAC0A5}"/>
    <cellStyle name="Normal 4 2 4 2 3 2 3" xfId="5110" xr:uid="{00000000-0005-0000-0000-00001D140000}"/>
    <cellStyle name="Normal 4 2 4 2 3 2 3 2" xfId="14701" xr:uid="{6C7D7772-759E-4339-91F2-5B7B403BFEEE}"/>
    <cellStyle name="Normal 4 2 4 2 3 2 4" xfId="9413" xr:uid="{00000000-0005-0000-0000-0000EC240000}"/>
    <cellStyle name="Normal 4 2 4 2 3 2 5" xfId="10389" xr:uid="{5688D6A0-29E1-4F1B-AAB1-7160CD4E883E}"/>
    <cellStyle name="Normal 4 2 4 2 3 3" xfId="1216" xr:uid="{00000000-0005-0000-0000-0000E7040000}"/>
    <cellStyle name="Normal 4 2 4 2 3 3 2" xfId="3446" xr:uid="{00000000-0005-0000-0000-00009D0D0000}"/>
    <cellStyle name="Normal 4 2 4 2 3 3 2 2" xfId="7668" xr:uid="{00000000-0005-0000-0000-00001B1E0000}"/>
    <cellStyle name="Normal 4 2 4 2 3 3 2 2 2" xfId="17259" xr:uid="{8D1BBDD1-E6E6-4FCE-B405-E672BA08A0E2}"/>
    <cellStyle name="Normal 4 2 4 2 3 3 2 3" xfId="13038" xr:uid="{1E040910-FE65-4EFA-902C-C08F0E5CBBF9}"/>
    <cellStyle name="Normal 4 2 4 2 3 3 3" xfId="5523" xr:uid="{00000000-0005-0000-0000-0000BA150000}"/>
    <cellStyle name="Normal 4 2 4 2 3 3 3 2" xfId="15114" xr:uid="{8BF396DF-52EE-4557-84E4-7E756ADA3DC1}"/>
    <cellStyle name="Normal 4 2 4 2 3 3 4" xfId="10809" xr:uid="{3B32ED15-CA5A-4410-91DC-6426637C0349}"/>
    <cellStyle name="Normal 4 2 4 2 3 4" xfId="1629" xr:uid="{00000000-0005-0000-0000-000084060000}"/>
    <cellStyle name="Normal 4 2 4 2 3 4 2" xfId="3859" xr:uid="{00000000-0005-0000-0000-00003A0F0000}"/>
    <cellStyle name="Normal 4 2 4 2 3 4 2 2" xfId="8081" xr:uid="{00000000-0005-0000-0000-0000B81F0000}"/>
    <cellStyle name="Normal 4 2 4 2 3 4 2 2 2" xfId="17672" xr:uid="{E77CD271-FA90-4710-BF4B-4D6C1C82340B}"/>
    <cellStyle name="Normal 4 2 4 2 3 4 2 3" xfId="13451" xr:uid="{05C122FF-BE1C-4903-A1F6-8998B3C6A2EB}"/>
    <cellStyle name="Normal 4 2 4 2 3 4 3" xfId="5936" xr:uid="{00000000-0005-0000-0000-000057170000}"/>
    <cellStyle name="Normal 4 2 4 2 3 4 3 2" xfId="15527" xr:uid="{0B1F253C-7B7C-4859-AF9C-C48C7DCDB5F7}"/>
    <cellStyle name="Normal 4 2 4 2 3 4 4" xfId="11222" xr:uid="{BB3FE526-C2A3-48E0-A7C3-7120D7123B55}"/>
    <cellStyle name="Normal 4 2 4 2 3 5" xfId="2043" xr:uid="{00000000-0005-0000-0000-000022080000}"/>
    <cellStyle name="Normal 4 2 4 2 3 5 2" xfId="4272" xr:uid="{00000000-0005-0000-0000-0000D7100000}"/>
    <cellStyle name="Normal 4 2 4 2 3 5 2 2" xfId="8494" xr:uid="{00000000-0005-0000-0000-000055210000}"/>
    <cellStyle name="Normal 4 2 4 2 3 5 2 2 2" xfId="18085" xr:uid="{C0670998-1E3C-44F0-B7A8-9CD9E694E3F7}"/>
    <cellStyle name="Normal 4 2 4 2 3 5 2 3" xfId="13864" xr:uid="{B9EF45C9-8206-4D17-8E87-E961EDB3B821}"/>
    <cellStyle name="Normal 4 2 4 2 3 5 3" xfId="6349" xr:uid="{00000000-0005-0000-0000-0000F4180000}"/>
    <cellStyle name="Normal 4 2 4 2 3 5 3 2" xfId="15940" xr:uid="{D623CD83-6906-4928-ACB0-0AFD2DFA9979}"/>
    <cellStyle name="Normal 4 2 4 2 3 5 4" xfId="11635" xr:uid="{4A260C56-566F-4AC0-AB38-30377E91345E}"/>
    <cellStyle name="Normal 4 2 4 2 3 6" xfId="2479" xr:uid="{00000000-0005-0000-0000-0000D6090000}"/>
    <cellStyle name="Normal 4 2 4 2 3 6 2" xfId="6762" xr:uid="{00000000-0005-0000-0000-0000911A0000}"/>
    <cellStyle name="Normal 4 2 4 2 3 6 2 2" xfId="16353" xr:uid="{7B4FE84F-F1F0-4C95-8606-A02A42D84D9E}"/>
    <cellStyle name="Normal 4 2 4 2 3 6 3" xfId="12071" xr:uid="{5EC7F4B8-BDC0-41A8-8BF9-EAC416530D23}"/>
    <cellStyle name="Normal 4 2 4 2 3 7" xfId="4697" xr:uid="{00000000-0005-0000-0000-000080120000}"/>
    <cellStyle name="Normal 4 2 4 2 3 7 2" xfId="14288" xr:uid="{FECD6833-9F1F-4BB9-88D6-691D9C12E573}"/>
    <cellStyle name="Normal 4 2 4 2 3 8" xfId="8988" xr:uid="{00000000-0005-0000-0000-000043230000}"/>
    <cellStyle name="Normal 4 2 4 2 3 9" xfId="9922" xr:uid="{4BA06AFE-471E-47CF-926A-8B0F9CB0085B}"/>
    <cellStyle name="Normal 4 2 4 2 4" xfId="793" xr:uid="{00000000-0005-0000-0000-000040030000}"/>
    <cellStyle name="Normal 4 2 4 2 4 2" xfId="3030" xr:uid="{00000000-0005-0000-0000-0000FD0B0000}"/>
    <cellStyle name="Normal 4 2 4 2 4 2 2" xfId="7252" xr:uid="{00000000-0005-0000-0000-00007B1C0000}"/>
    <cellStyle name="Normal 4 2 4 2 4 2 2 2" xfId="16843" xr:uid="{A5E2228A-C659-4344-9B13-DB99D04978B4}"/>
    <cellStyle name="Normal 4 2 4 2 4 2 3" xfId="12622" xr:uid="{3D437C95-AF76-49D5-9E89-5287838C28DA}"/>
    <cellStyle name="Normal 4 2 4 2 4 3" xfId="5107" xr:uid="{00000000-0005-0000-0000-00001A140000}"/>
    <cellStyle name="Normal 4 2 4 2 4 3 2" xfId="14698" xr:uid="{165CE746-E73D-450F-9C52-9ABB20BE1CB5}"/>
    <cellStyle name="Normal 4 2 4 2 4 4" xfId="9206" xr:uid="{00000000-0005-0000-0000-00001D240000}"/>
    <cellStyle name="Normal 4 2 4 2 4 5" xfId="10386" xr:uid="{B48B7871-89E5-4263-835C-1E78E6A3D15D}"/>
    <cellStyle name="Normal 4 2 4 2 5" xfId="1213" xr:uid="{00000000-0005-0000-0000-0000E4040000}"/>
    <cellStyle name="Normal 4 2 4 2 5 2" xfId="3443" xr:uid="{00000000-0005-0000-0000-00009A0D0000}"/>
    <cellStyle name="Normal 4 2 4 2 5 2 2" xfId="7665" xr:uid="{00000000-0005-0000-0000-0000181E0000}"/>
    <cellStyle name="Normal 4 2 4 2 5 2 2 2" xfId="17256" xr:uid="{EBA386E1-0568-4A19-AB3C-B83DD615BF5F}"/>
    <cellStyle name="Normal 4 2 4 2 5 2 3" xfId="13035" xr:uid="{E5FE2766-D1BF-40D3-A94A-B3A2074A9713}"/>
    <cellStyle name="Normal 4 2 4 2 5 3" xfId="5520" xr:uid="{00000000-0005-0000-0000-0000B7150000}"/>
    <cellStyle name="Normal 4 2 4 2 5 3 2" xfId="15111" xr:uid="{FE12F380-0EDE-4257-839D-A1D3E08FF775}"/>
    <cellStyle name="Normal 4 2 4 2 5 4" xfId="10806" xr:uid="{2DBA00E1-A951-4B57-AC43-B87A7709FB5C}"/>
    <cellStyle name="Normal 4 2 4 2 6" xfId="1626" xr:uid="{00000000-0005-0000-0000-000081060000}"/>
    <cellStyle name="Normal 4 2 4 2 6 2" xfId="3856" xr:uid="{00000000-0005-0000-0000-0000370F0000}"/>
    <cellStyle name="Normal 4 2 4 2 6 2 2" xfId="8078" xr:uid="{00000000-0005-0000-0000-0000B51F0000}"/>
    <cellStyle name="Normal 4 2 4 2 6 2 2 2" xfId="17669" xr:uid="{FF736346-80D4-41A8-A2BA-FAC3454B3C61}"/>
    <cellStyle name="Normal 4 2 4 2 6 2 3" xfId="13448" xr:uid="{C486C925-32B9-4230-9ED2-803C933C1252}"/>
    <cellStyle name="Normal 4 2 4 2 6 3" xfId="5933" xr:uid="{00000000-0005-0000-0000-000054170000}"/>
    <cellStyle name="Normal 4 2 4 2 6 3 2" xfId="15524" xr:uid="{0DE595A9-57EF-4635-9AB8-08CE6CE23EDD}"/>
    <cellStyle name="Normal 4 2 4 2 6 4" xfId="11219" xr:uid="{54132330-AE83-4AE5-B436-FB3AEBBAA5FD}"/>
    <cellStyle name="Normal 4 2 4 2 7" xfId="2040" xr:uid="{00000000-0005-0000-0000-00001F080000}"/>
    <cellStyle name="Normal 4 2 4 2 7 2" xfId="4269" xr:uid="{00000000-0005-0000-0000-0000D4100000}"/>
    <cellStyle name="Normal 4 2 4 2 7 2 2" xfId="8491" xr:uid="{00000000-0005-0000-0000-000052210000}"/>
    <cellStyle name="Normal 4 2 4 2 7 2 2 2" xfId="18082" xr:uid="{D787C69A-20D4-4FAE-8B35-E2C448F0F4D4}"/>
    <cellStyle name="Normal 4 2 4 2 7 2 3" xfId="13861" xr:uid="{0D3397DF-D61A-4117-8A64-FE016513AFFC}"/>
    <cellStyle name="Normal 4 2 4 2 7 3" xfId="6346" xr:uid="{00000000-0005-0000-0000-0000F1180000}"/>
    <cellStyle name="Normal 4 2 4 2 7 3 2" xfId="15937" xr:uid="{E247F9C3-CE06-4DA8-9504-4509F886ABE6}"/>
    <cellStyle name="Normal 4 2 4 2 7 4" xfId="11632" xr:uid="{D377379F-A5A7-40F7-ADDD-88AC04677E0F}"/>
    <cellStyle name="Normal 4 2 4 2 8" xfId="2476" xr:uid="{00000000-0005-0000-0000-0000D3090000}"/>
    <cellStyle name="Normal 4 2 4 2 8 2" xfId="6759" xr:uid="{00000000-0005-0000-0000-00008E1A0000}"/>
    <cellStyle name="Normal 4 2 4 2 8 2 2" xfId="16350" xr:uid="{CEC44C5E-2AE2-4F2C-8F80-B352EF50ECAB}"/>
    <cellStyle name="Normal 4 2 4 2 8 3" xfId="12068" xr:uid="{1F279CBF-469A-4BA6-BAEE-5DBC4F266070}"/>
    <cellStyle name="Normal 4 2 4 2 9" xfId="4694" xr:uid="{00000000-0005-0000-0000-00007D120000}"/>
    <cellStyle name="Normal 4 2 4 2 9 2" xfId="14285" xr:uid="{84D883D1-C265-479A-B85C-A0BAFDAF6D74}"/>
    <cellStyle name="Normal 4 2 4 3" xfId="324" xr:uid="{00000000-0005-0000-0000-000068010000}"/>
    <cellStyle name="Normal 4 2 4 3 10" xfId="9923" xr:uid="{E696F362-3005-4EED-9BD7-BC7B7399910D}"/>
    <cellStyle name="Normal 4 2 4 3 2" xfId="325" xr:uid="{00000000-0005-0000-0000-000069010000}"/>
    <cellStyle name="Normal 4 2 4 3 2 2" xfId="798" xr:uid="{00000000-0005-0000-0000-000045030000}"/>
    <cellStyle name="Normal 4 2 4 3 2 2 2" xfId="3035" xr:uid="{00000000-0005-0000-0000-0000020C0000}"/>
    <cellStyle name="Normal 4 2 4 3 2 2 2 2" xfId="7257" xr:uid="{00000000-0005-0000-0000-0000801C0000}"/>
    <cellStyle name="Normal 4 2 4 3 2 2 2 2 2" xfId="16848" xr:uid="{E6B945BF-E364-4B19-921A-0923D73BF5FF}"/>
    <cellStyle name="Normal 4 2 4 3 2 2 2 3" xfId="12627" xr:uid="{74DD6A22-C3F7-4D26-97DB-C6E1957D65C0}"/>
    <cellStyle name="Normal 4 2 4 3 2 2 3" xfId="5112" xr:uid="{00000000-0005-0000-0000-00001F140000}"/>
    <cellStyle name="Normal 4 2 4 3 2 2 3 2" xfId="14703" xr:uid="{D2CEB473-46B8-4974-8DC3-E8D15A65E012}"/>
    <cellStyle name="Normal 4 2 4 3 2 2 4" xfId="9471" xr:uid="{00000000-0005-0000-0000-000026250000}"/>
    <cellStyle name="Normal 4 2 4 3 2 2 5" xfId="10391" xr:uid="{2735A163-66B9-41EF-8D94-E7F3DB510AAA}"/>
    <cellStyle name="Normal 4 2 4 3 2 3" xfId="1218" xr:uid="{00000000-0005-0000-0000-0000E9040000}"/>
    <cellStyle name="Normal 4 2 4 3 2 3 2" xfId="3448" xr:uid="{00000000-0005-0000-0000-00009F0D0000}"/>
    <cellStyle name="Normal 4 2 4 3 2 3 2 2" xfId="7670" xr:uid="{00000000-0005-0000-0000-00001D1E0000}"/>
    <cellStyle name="Normal 4 2 4 3 2 3 2 2 2" xfId="17261" xr:uid="{ECA9A5DD-EB74-432F-87AB-1333D4E810BD}"/>
    <cellStyle name="Normal 4 2 4 3 2 3 2 3" xfId="13040" xr:uid="{533C8353-1A05-4161-9736-688295092AA2}"/>
    <cellStyle name="Normal 4 2 4 3 2 3 3" xfId="5525" xr:uid="{00000000-0005-0000-0000-0000BC150000}"/>
    <cellStyle name="Normal 4 2 4 3 2 3 3 2" xfId="15116" xr:uid="{1A1F577F-DE28-4636-9B81-F8A1185D0614}"/>
    <cellStyle name="Normal 4 2 4 3 2 3 4" xfId="10811" xr:uid="{1ABD0F22-A457-4689-9831-F0C8EA9BE141}"/>
    <cellStyle name="Normal 4 2 4 3 2 4" xfId="1631" xr:uid="{00000000-0005-0000-0000-000086060000}"/>
    <cellStyle name="Normal 4 2 4 3 2 4 2" xfId="3861" xr:uid="{00000000-0005-0000-0000-00003C0F0000}"/>
    <cellStyle name="Normal 4 2 4 3 2 4 2 2" xfId="8083" xr:uid="{00000000-0005-0000-0000-0000BA1F0000}"/>
    <cellStyle name="Normal 4 2 4 3 2 4 2 2 2" xfId="17674" xr:uid="{2B37D9E0-17FB-462D-9DCC-63209C681CA4}"/>
    <cellStyle name="Normal 4 2 4 3 2 4 2 3" xfId="13453" xr:uid="{D0F29322-13AA-44C4-A94D-CEA3135D711E}"/>
    <cellStyle name="Normal 4 2 4 3 2 4 3" xfId="5938" xr:uid="{00000000-0005-0000-0000-000059170000}"/>
    <cellStyle name="Normal 4 2 4 3 2 4 3 2" xfId="15529" xr:uid="{050583AD-6B16-4734-A9B9-BFBDE5CC6FF9}"/>
    <cellStyle name="Normal 4 2 4 3 2 4 4" xfId="11224" xr:uid="{AD508516-F666-456F-BD72-6E4F4C964BDE}"/>
    <cellStyle name="Normal 4 2 4 3 2 5" xfId="2045" xr:uid="{00000000-0005-0000-0000-000024080000}"/>
    <cellStyle name="Normal 4 2 4 3 2 5 2" xfId="4274" xr:uid="{00000000-0005-0000-0000-0000D9100000}"/>
    <cellStyle name="Normal 4 2 4 3 2 5 2 2" xfId="8496" xr:uid="{00000000-0005-0000-0000-000057210000}"/>
    <cellStyle name="Normal 4 2 4 3 2 5 2 2 2" xfId="18087" xr:uid="{35FFB151-9EFC-4083-A002-A61CB7A56A04}"/>
    <cellStyle name="Normal 4 2 4 3 2 5 2 3" xfId="13866" xr:uid="{0AF627C2-C4E2-41EC-8B95-1CA679AECA3F}"/>
    <cellStyle name="Normal 4 2 4 3 2 5 3" xfId="6351" xr:uid="{00000000-0005-0000-0000-0000F6180000}"/>
    <cellStyle name="Normal 4 2 4 3 2 5 3 2" xfId="15942" xr:uid="{2A67F940-9CFD-41AD-81A5-1F651DC1A671}"/>
    <cellStyle name="Normal 4 2 4 3 2 5 4" xfId="11637" xr:uid="{DC75F4C3-9229-46AA-96F0-44633BCBD7F1}"/>
    <cellStyle name="Normal 4 2 4 3 2 6" xfId="2481" xr:uid="{00000000-0005-0000-0000-0000D8090000}"/>
    <cellStyle name="Normal 4 2 4 3 2 6 2" xfId="6764" xr:uid="{00000000-0005-0000-0000-0000931A0000}"/>
    <cellStyle name="Normal 4 2 4 3 2 6 2 2" xfId="16355" xr:uid="{B620FE5A-B094-49E6-8A38-68FD034AAF79}"/>
    <cellStyle name="Normal 4 2 4 3 2 6 3" xfId="12073" xr:uid="{9DF6EBCD-7CD1-431A-8AA8-23488E0479B1}"/>
    <cellStyle name="Normal 4 2 4 3 2 7" xfId="4699" xr:uid="{00000000-0005-0000-0000-000082120000}"/>
    <cellStyle name="Normal 4 2 4 3 2 7 2" xfId="14290" xr:uid="{797F6E82-B681-44FE-AB0F-AFFF557738FE}"/>
    <cellStyle name="Normal 4 2 4 3 2 8" xfId="9046" xr:uid="{00000000-0005-0000-0000-00007D230000}"/>
    <cellStyle name="Normal 4 2 4 3 2 9" xfId="9924" xr:uid="{FB9D443A-164E-4824-8552-3E9F160A062F}"/>
    <cellStyle name="Normal 4 2 4 3 3" xfId="797" xr:uid="{00000000-0005-0000-0000-000044030000}"/>
    <cellStyle name="Normal 4 2 4 3 3 2" xfId="3034" xr:uid="{00000000-0005-0000-0000-0000010C0000}"/>
    <cellStyle name="Normal 4 2 4 3 3 2 2" xfId="7256" xr:uid="{00000000-0005-0000-0000-00007F1C0000}"/>
    <cellStyle name="Normal 4 2 4 3 3 2 2 2" xfId="16847" xr:uid="{40AC5FDB-4DA0-4E69-ACBE-A01FC4F8160F}"/>
    <cellStyle name="Normal 4 2 4 3 3 2 3" xfId="12626" xr:uid="{67C21E8E-6D47-4D89-A007-6EAF179BA47A}"/>
    <cellStyle name="Normal 4 2 4 3 3 3" xfId="5111" xr:uid="{00000000-0005-0000-0000-00001E140000}"/>
    <cellStyle name="Normal 4 2 4 3 3 3 2" xfId="14702" xr:uid="{10857015-7BB7-4C6F-95AC-5F8919DF0E35}"/>
    <cellStyle name="Normal 4 2 4 3 3 4" xfId="9264" xr:uid="{00000000-0005-0000-0000-000057240000}"/>
    <cellStyle name="Normal 4 2 4 3 3 5" xfId="10390" xr:uid="{D741625E-B809-43EB-9286-4D951448DAFC}"/>
    <cellStyle name="Normal 4 2 4 3 4" xfId="1217" xr:uid="{00000000-0005-0000-0000-0000E8040000}"/>
    <cellStyle name="Normal 4 2 4 3 4 2" xfId="3447" xr:uid="{00000000-0005-0000-0000-00009E0D0000}"/>
    <cellStyle name="Normal 4 2 4 3 4 2 2" xfId="7669" xr:uid="{00000000-0005-0000-0000-00001C1E0000}"/>
    <cellStyle name="Normal 4 2 4 3 4 2 2 2" xfId="17260" xr:uid="{E853E2EF-F12C-4270-B93F-5F1B210DF906}"/>
    <cellStyle name="Normal 4 2 4 3 4 2 3" xfId="13039" xr:uid="{39EA8332-12A1-4067-B972-6E759DCDAFFC}"/>
    <cellStyle name="Normal 4 2 4 3 4 3" xfId="5524" xr:uid="{00000000-0005-0000-0000-0000BB150000}"/>
    <cellStyle name="Normal 4 2 4 3 4 3 2" xfId="15115" xr:uid="{8C2CA9FE-CAA7-49B2-B123-3836B07AEC03}"/>
    <cellStyle name="Normal 4 2 4 3 4 4" xfId="10810" xr:uid="{41E9B879-6875-4984-A85E-4B02E5EB8D5B}"/>
    <cellStyle name="Normal 4 2 4 3 5" xfId="1630" xr:uid="{00000000-0005-0000-0000-000085060000}"/>
    <cellStyle name="Normal 4 2 4 3 5 2" xfId="3860" xr:uid="{00000000-0005-0000-0000-00003B0F0000}"/>
    <cellStyle name="Normal 4 2 4 3 5 2 2" xfId="8082" xr:uid="{00000000-0005-0000-0000-0000B91F0000}"/>
    <cellStyle name="Normal 4 2 4 3 5 2 2 2" xfId="17673" xr:uid="{65F8A905-5F49-4A36-ACA6-4B005A9CEDDB}"/>
    <cellStyle name="Normal 4 2 4 3 5 2 3" xfId="13452" xr:uid="{3F1F08DE-76D7-4FF4-9EDB-9B9057A84ED9}"/>
    <cellStyle name="Normal 4 2 4 3 5 3" xfId="5937" xr:uid="{00000000-0005-0000-0000-000058170000}"/>
    <cellStyle name="Normal 4 2 4 3 5 3 2" xfId="15528" xr:uid="{BFC5AC9D-3084-4671-847C-52C724443D29}"/>
    <cellStyle name="Normal 4 2 4 3 5 4" xfId="11223" xr:uid="{FB534120-3250-4E5E-BAA0-900B48502623}"/>
    <cellStyle name="Normal 4 2 4 3 6" xfId="2044" xr:uid="{00000000-0005-0000-0000-000023080000}"/>
    <cellStyle name="Normal 4 2 4 3 6 2" xfId="4273" xr:uid="{00000000-0005-0000-0000-0000D8100000}"/>
    <cellStyle name="Normal 4 2 4 3 6 2 2" xfId="8495" xr:uid="{00000000-0005-0000-0000-000056210000}"/>
    <cellStyle name="Normal 4 2 4 3 6 2 2 2" xfId="18086" xr:uid="{31A4DCA7-8453-4E5A-A1D5-CB735844D230}"/>
    <cellStyle name="Normal 4 2 4 3 6 2 3" xfId="13865" xr:uid="{D7FF1536-7525-476C-AA8E-6D9ABA443687}"/>
    <cellStyle name="Normal 4 2 4 3 6 3" xfId="6350" xr:uid="{00000000-0005-0000-0000-0000F5180000}"/>
    <cellStyle name="Normal 4 2 4 3 6 3 2" xfId="15941" xr:uid="{75F90432-6E65-4798-8619-CC806BEA72C1}"/>
    <cellStyle name="Normal 4 2 4 3 6 4" xfId="11636" xr:uid="{5DD4F5AB-7DB5-44F4-BE97-A06B5967C220}"/>
    <cellStyle name="Normal 4 2 4 3 7" xfId="2480" xr:uid="{00000000-0005-0000-0000-0000D7090000}"/>
    <cellStyle name="Normal 4 2 4 3 7 2" xfId="6763" xr:uid="{00000000-0005-0000-0000-0000921A0000}"/>
    <cellStyle name="Normal 4 2 4 3 7 2 2" xfId="16354" xr:uid="{FD8B2C35-C141-4449-89AF-EA1052F0BF34}"/>
    <cellStyle name="Normal 4 2 4 3 7 3" xfId="12072" xr:uid="{B8AFD415-2AED-4056-BB97-846123183F44}"/>
    <cellStyle name="Normal 4 2 4 3 8" xfId="4698" xr:uid="{00000000-0005-0000-0000-000081120000}"/>
    <cellStyle name="Normal 4 2 4 3 8 2" xfId="14289" xr:uid="{A7F659CF-1045-4DD5-AEB6-3A5C15832A14}"/>
    <cellStyle name="Normal 4 2 4 3 9" xfId="8839" xr:uid="{00000000-0005-0000-0000-0000AE220000}"/>
    <cellStyle name="Normal 4 2 4 4" xfId="326" xr:uid="{00000000-0005-0000-0000-00006A010000}"/>
    <cellStyle name="Normal 4 2 4 4 2" xfId="799" xr:uid="{00000000-0005-0000-0000-000046030000}"/>
    <cellStyle name="Normal 4 2 4 4 2 2" xfId="3036" xr:uid="{00000000-0005-0000-0000-0000030C0000}"/>
    <cellStyle name="Normal 4 2 4 4 2 2 2" xfId="7258" xr:uid="{00000000-0005-0000-0000-0000811C0000}"/>
    <cellStyle name="Normal 4 2 4 4 2 2 2 2" xfId="16849" xr:uid="{ACC9A71A-D671-4DEA-86AB-6F470DE1DD77}"/>
    <cellStyle name="Normal 4 2 4 4 2 2 3" xfId="12628" xr:uid="{B73DFBB7-4A76-4F66-8826-77FD33B96CE1}"/>
    <cellStyle name="Normal 4 2 4 4 2 3" xfId="5113" xr:uid="{00000000-0005-0000-0000-000020140000}"/>
    <cellStyle name="Normal 4 2 4 4 2 3 2" xfId="14704" xr:uid="{5E637A29-D6FF-4EF5-B881-D1BB6FF61668}"/>
    <cellStyle name="Normal 4 2 4 4 2 4" xfId="9368" xr:uid="{00000000-0005-0000-0000-0000BF240000}"/>
    <cellStyle name="Normal 4 2 4 4 2 5" xfId="10392" xr:uid="{CFAB6021-F737-4C70-9E1C-C0EFC2833782}"/>
    <cellStyle name="Normal 4 2 4 4 3" xfId="1219" xr:uid="{00000000-0005-0000-0000-0000EA040000}"/>
    <cellStyle name="Normal 4 2 4 4 3 2" xfId="3449" xr:uid="{00000000-0005-0000-0000-0000A00D0000}"/>
    <cellStyle name="Normal 4 2 4 4 3 2 2" xfId="7671" xr:uid="{00000000-0005-0000-0000-00001E1E0000}"/>
    <cellStyle name="Normal 4 2 4 4 3 2 2 2" xfId="17262" xr:uid="{DC33F149-DD34-429B-A4E8-D285D0F10602}"/>
    <cellStyle name="Normal 4 2 4 4 3 2 3" xfId="13041" xr:uid="{6055F80D-BAB9-4EA5-8D86-4819AB1E86E4}"/>
    <cellStyle name="Normal 4 2 4 4 3 3" xfId="5526" xr:uid="{00000000-0005-0000-0000-0000BD150000}"/>
    <cellStyle name="Normal 4 2 4 4 3 3 2" xfId="15117" xr:uid="{8BD69D7B-6A28-4B6B-942A-35F18DE454E7}"/>
    <cellStyle name="Normal 4 2 4 4 3 4" xfId="10812" xr:uid="{625A93EB-2FD5-4878-BA36-F0539B395114}"/>
    <cellStyle name="Normal 4 2 4 4 4" xfId="1632" xr:uid="{00000000-0005-0000-0000-000087060000}"/>
    <cellStyle name="Normal 4 2 4 4 4 2" xfId="3862" xr:uid="{00000000-0005-0000-0000-00003D0F0000}"/>
    <cellStyle name="Normal 4 2 4 4 4 2 2" xfId="8084" xr:uid="{00000000-0005-0000-0000-0000BB1F0000}"/>
    <cellStyle name="Normal 4 2 4 4 4 2 2 2" xfId="17675" xr:uid="{BCE28C28-731A-4D77-92F3-C865CEB51814}"/>
    <cellStyle name="Normal 4 2 4 4 4 2 3" xfId="13454" xr:uid="{D48D38CA-8898-4935-8393-1814E211D6E6}"/>
    <cellStyle name="Normal 4 2 4 4 4 3" xfId="5939" xr:uid="{00000000-0005-0000-0000-00005A170000}"/>
    <cellStyle name="Normal 4 2 4 4 4 3 2" xfId="15530" xr:uid="{765DD256-17A1-492B-8E60-FCA55EC68838}"/>
    <cellStyle name="Normal 4 2 4 4 4 4" xfId="11225" xr:uid="{22EDC60E-04E5-449B-BF58-056AE93137BA}"/>
    <cellStyle name="Normal 4 2 4 4 5" xfId="2046" xr:uid="{00000000-0005-0000-0000-000025080000}"/>
    <cellStyle name="Normal 4 2 4 4 5 2" xfId="4275" xr:uid="{00000000-0005-0000-0000-0000DA100000}"/>
    <cellStyle name="Normal 4 2 4 4 5 2 2" xfId="8497" xr:uid="{00000000-0005-0000-0000-000058210000}"/>
    <cellStyle name="Normal 4 2 4 4 5 2 2 2" xfId="18088" xr:uid="{6049829C-AFEB-4703-9D88-DF2A1E858F43}"/>
    <cellStyle name="Normal 4 2 4 4 5 2 3" xfId="13867" xr:uid="{AFE3C6B6-DF57-44AA-A8E4-E1E155BE8E2E}"/>
    <cellStyle name="Normal 4 2 4 4 5 3" xfId="6352" xr:uid="{00000000-0005-0000-0000-0000F7180000}"/>
    <cellStyle name="Normal 4 2 4 4 5 3 2" xfId="15943" xr:uid="{3A5AF9E6-359C-42BA-B65E-577C6C822728}"/>
    <cellStyle name="Normal 4 2 4 4 5 4" xfId="11638" xr:uid="{B7C4FE02-EB50-49D9-9B21-8B14D92BD6E9}"/>
    <cellStyle name="Normal 4 2 4 4 6" xfId="2482" xr:uid="{00000000-0005-0000-0000-0000D9090000}"/>
    <cellStyle name="Normal 4 2 4 4 6 2" xfId="6765" xr:uid="{00000000-0005-0000-0000-0000941A0000}"/>
    <cellStyle name="Normal 4 2 4 4 6 2 2" xfId="16356" xr:uid="{9973A588-4937-4D61-8945-B5532CD3EF70}"/>
    <cellStyle name="Normal 4 2 4 4 6 3" xfId="12074" xr:uid="{F3D7EB4B-5BD1-4FCB-9133-2DEFAFA6146B}"/>
    <cellStyle name="Normal 4 2 4 4 7" xfId="4700" xr:uid="{00000000-0005-0000-0000-000083120000}"/>
    <cellStyle name="Normal 4 2 4 4 7 2" xfId="14291" xr:uid="{B1DC8C02-A01A-4968-8F5C-5FD5FCB161C2}"/>
    <cellStyle name="Normal 4 2 4 4 8" xfId="8943" xr:uid="{00000000-0005-0000-0000-000016230000}"/>
    <cellStyle name="Normal 4 2 4 4 9" xfId="9925" xr:uid="{967F7258-C499-4A90-89A6-42DCF213366D}"/>
    <cellStyle name="Normal 4 2 4 5" xfId="792" xr:uid="{00000000-0005-0000-0000-00003F030000}"/>
    <cellStyle name="Normal 4 2 4 5 2" xfId="3029" xr:uid="{00000000-0005-0000-0000-0000FC0B0000}"/>
    <cellStyle name="Normal 4 2 4 5 2 2" xfId="7251" xr:uid="{00000000-0005-0000-0000-00007A1C0000}"/>
    <cellStyle name="Normal 4 2 4 5 2 2 2" xfId="16842" xr:uid="{011C0C66-CA7C-497A-8E15-B12F76947B11}"/>
    <cellStyle name="Normal 4 2 4 5 2 3" xfId="12621" xr:uid="{4C429E96-6852-4148-B2BE-A0D129D7CD6F}"/>
    <cellStyle name="Normal 4 2 4 5 3" xfId="5106" xr:uid="{00000000-0005-0000-0000-000019140000}"/>
    <cellStyle name="Normal 4 2 4 5 3 2" xfId="14697" xr:uid="{F5D2C7DF-2C12-488F-B954-D5A4C50DD8C1}"/>
    <cellStyle name="Normal 4 2 4 5 4" xfId="9160" xr:uid="{00000000-0005-0000-0000-0000EF230000}"/>
    <cellStyle name="Normal 4 2 4 5 5" xfId="10385" xr:uid="{E3A53240-D406-48B8-B2E8-190A2D672B7C}"/>
    <cellStyle name="Normal 4 2 4 6" xfId="1212" xr:uid="{00000000-0005-0000-0000-0000E3040000}"/>
    <cellStyle name="Normal 4 2 4 6 2" xfId="3442" xr:uid="{00000000-0005-0000-0000-0000990D0000}"/>
    <cellStyle name="Normal 4 2 4 6 2 2" xfId="7664" xr:uid="{00000000-0005-0000-0000-0000171E0000}"/>
    <cellStyle name="Normal 4 2 4 6 2 2 2" xfId="17255" xr:uid="{1BB14A76-7491-481C-B1CA-EE2BA492A015}"/>
    <cellStyle name="Normal 4 2 4 6 2 3" xfId="13034" xr:uid="{351B751B-8ED6-4CCE-958F-5E2F96D6603E}"/>
    <cellStyle name="Normal 4 2 4 6 3" xfId="5519" xr:uid="{00000000-0005-0000-0000-0000B6150000}"/>
    <cellStyle name="Normal 4 2 4 6 3 2" xfId="15110" xr:uid="{5E0B7AC4-7A29-48E1-B67B-90DF6B2CAD61}"/>
    <cellStyle name="Normal 4 2 4 6 4" xfId="10805" xr:uid="{B55A8E86-C47D-4CE8-8B77-3E75BDB6B03A}"/>
    <cellStyle name="Normal 4 2 4 7" xfId="1625" xr:uid="{00000000-0005-0000-0000-000080060000}"/>
    <cellStyle name="Normal 4 2 4 7 2" xfId="3855" xr:uid="{00000000-0005-0000-0000-0000360F0000}"/>
    <cellStyle name="Normal 4 2 4 7 2 2" xfId="8077" xr:uid="{00000000-0005-0000-0000-0000B41F0000}"/>
    <cellStyle name="Normal 4 2 4 7 2 2 2" xfId="17668" xr:uid="{1821AEA7-2C70-4296-95AE-0F0C6509BED4}"/>
    <cellStyle name="Normal 4 2 4 7 2 3" xfId="13447" xr:uid="{F40855F4-6D6A-428F-A116-EFEC4697B9B0}"/>
    <cellStyle name="Normal 4 2 4 7 3" xfId="5932" xr:uid="{00000000-0005-0000-0000-000053170000}"/>
    <cellStyle name="Normal 4 2 4 7 3 2" xfId="15523" xr:uid="{7AE5077B-26E2-435B-BEDC-3503F84DCC19}"/>
    <cellStyle name="Normal 4 2 4 7 4" xfId="11218" xr:uid="{D0CBA056-2CE7-42C6-BFD1-A36730B12419}"/>
    <cellStyle name="Normal 4 2 4 8" xfId="2039" xr:uid="{00000000-0005-0000-0000-00001E080000}"/>
    <cellStyle name="Normal 4 2 4 8 2" xfId="4268" xr:uid="{00000000-0005-0000-0000-0000D3100000}"/>
    <cellStyle name="Normal 4 2 4 8 2 2" xfId="8490" xr:uid="{00000000-0005-0000-0000-000051210000}"/>
    <cellStyle name="Normal 4 2 4 8 2 2 2" xfId="18081" xr:uid="{A7A20977-1369-4FBB-BC78-73AEBDAD7B31}"/>
    <cellStyle name="Normal 4 2 4 8 2 3" xfId="13860" xr:uid="{9F888292-DFD8-4E2F-AD8B-399623EB0E91}"/>
    <cellStyle name="Normal 4 2 4 8 3" xfId="6345" xr:uid="{00000000-0005-0000-0000-0000F0180000}"/>
    <cellStyle name="Normal 4 2 4 8 3 2" xfId="15936" xr:uid="{801123FC-D60D-4496-AB3E-8B7896172F24}"/>
    <cellStyle name="Normal 4 2 4 8 4" xfId="11631" xr:uid="{5AEA2BEB-B61B-40A9-B1D5-5F8A10595C7C}"/>
    <cellStyle name="Normal 4 2 4 9" xfId="2475" xr:uid="{00000000-0005-0000-0000-0000D2090000}"/>
    <cellStyle name="Normal 4 2 4 9 2" xfId="6758" xr:uid="{00000000-0005-0000-0000-00008D1A0000}"/>
    <cellStyle name="Normal 4 2 4 9 2 2" xfId="16349" xr:uid="{872E2BDE-A6FA-47B4-ACF3-F8D9A2C6D03E}"/>
    <cellStyle name="Normal 4 2 4 9 3" xfId="12067" xr:uid="{BC7819CC-B751-425D-9DEC-BE275EA92C00}"/>
    <cellStyle name="Normal 4 2 5" xfId="327" xr:uid="{00000000-0005-0000-0000-00006B010000}"/>
    <cellStyle name="Normal 4 2 5 10" xfId="9926" xr:uid="{F43D7E51-3952-47F1-A707-2B1C94888B63}"/>
    <cellStyle name="Normal 4 2 5 2" xfId="328" xr:uid="{00000000-0005-0000-0000-00006C010000}"/>
    <cellStyle name="Normal 4 2 5 2 2" xfId="801" xr:uid="{00000000-0005-0000-0000-000048030000}"/>
    <cellStyle name="Normal 4 2 5 2 2 2" xfId="3038" xr:uid="{00000000-0005-0000-0000-0000050C0000}"/>
    <cellStyle name="Normal 4 2 5 2 2 2 2" xfId="7260" xr:uid="{00000000-0005-0000-0000-0000831C0000}"/>
    <cellStyle name="Normal 4 2 5 2 2 2 2 2" xfId="16851" xr:uid="{354C6131-AC44-4A6F-A7D0-F29CECBCC959}"/>
    <cellStyle name="Normal 4 2 5 2 2 2 3" xfId="12630" xr:uid="{B36E48B2-04E1-4D12-B074-42BDC65A34B1}"/>
    <cellStyle name="Normal 4 2 5 2 2 3" xfId="5115" xr:uid="{00000000-0005-0000-0000-000022140000}"/>
    <cellStyle name="Normal 4 2 5 2 2 3 2" xfId="14706" xr:uid="{C066937F-91AE-45AF-ADB2-9DFAD9D8073A}"/>
    <cellStyle name="Normal 4 2 5 2 2 4" xfId="9439" xr:uid="{00000000-0005-0000-0000-000006250000}"/>
    <cellStyle name="Normal 4 2 5 2 2 5" xfId="10394" xr:uid="{9A210B23-CA1B-4953-99AD-1B3CA13B0D0B}"/>
    <cellStyle name="Normal 4 2 5 2 3" xfId="1221" xr:uid="{00000000-0005-0000-0000-0000EC040000}"/>
    <cellStyle name="Normal 4 2 5 2 3 2" xfId="3451" xr:uid="{00000000-0005-0000-0000-0000A20D0000}"/>
    <cellStyle name="Normal 4 2 5 2 3 2 2" xfId="7673" xr:uid="{00000000-0005-0000-0000-0000201E0000}"/>
    <cellStyle name="Normal 4 2 5 2 3 2 2 2" xfId="17264" xr:uid="{3921B0AE-EE5B-44DD-AE0D-14935862CD9B}"/>
    <cellStyle name="Normal 4 2 5 2 3 2 3" xfId="13043" xr:uid="{7B64C379-3078-4124-87F5-4A6AAF0CB5D2}"/>
    <cellStyle name="Normal 4 2 5 2 3 3" xfId="5528" xr:uid="{00000000-0005-0000-0000-0000BF150000}"/>
    <cellStyle name="Normal 4 2 5 2 3 3 2" xfId="15119" xr:uid="{73264B2A-A958-4963-A500-AE9120FA9BA5}"/>
    <cellStyle name="Normal 4 2 5 2 3 4" xfId="10814" xr:uid="{948C713A-4BC1-4A1A-B663-5C5619BBB900}"/>
    <cellStyle name="Normal 4 2 5 2 4" xfId="1634" xr:uid="{00000000-0005-0000-0000-000089060000}"/>
    <cellStyle name="Normal 4 2 5 2 4 2" xfId="3864" xr:uid="{00000000-0005-0000-0000-00003F0F0000}"/>
    <cellStyle name="Normal 4 2 5 2 4 2 2" xfId="8086" xr:uid="{00000000-0005-0000-0000-0000BD1F0000}"/>
    <cellStyle name="Normal 4 2 5 2 4 2 2 2" xfId="17677" xr:uid="{DD243835-EE7D-4B61-9507-1799C2D42B18}"/>
    <cellStyle name="Normal 4 2 5 2 4 2 3" xfId="13456" xr:uid="{FC4056AB-C47D-40FA-91EA-42BB923C8A00}"/>
    <cellStyle name="Normal 4 2 5 2 4 3" xfId="5941" xr:uid="{00000000-0005-0000-0000-00005C170000}"/>
    <cellStyle name="Normal 4 2 5 2 4 3 2" xfId="15532" xr:uid="{CB981E8C-6CE0-4410-9E7A-0AA7950610F7}"/>
    <cellStyle name="Normal 4 2 5 2 4 4" xfId="11227" xr:uid="{8E839937-FE44-428E-98B4-E2BD65BB7EE2}"/>
    <cellStyle name="Normal 4 2 5 2 5" xfId="2048" xr:uid="{00000000-0005-0000-0000-000027080000}"/>
    <cellStyle name="Normal 4 2 5 2 5 2" xfId="4277" xr:uid="{00000000-0005-0000-0000-0000DC100000}"/>
    <cellStyle name="Normal 4 2 5 2 5 2 2" xfId="8499" xr:uid="{00000000-0005-0000-0000-00005A210000}"/>
    <cellStyle name="Normal 4 2 5 2 5 2 2 2" xfId="18090" xr:uid="{4F48A14C-D24B-4EFA-9150-AD9380B0DDC7}"/>
    <cellStyle name="Normal 4 2 5 2 5 2 3" xfId="13869" xr:uid="{0A7C8FAF-5EA9-490A-9478-C7E7111F3509}"/>
    <cellStyle name="Normal 4 2 5 2 5 3" xfId="6354" xr:uid="{00000000-0005-0000-0000-0000F9180000}"/>
    <cellStyle name="Normal 4 2 5 2 5 3 2" xfId="15945" xr:uid="{87A458C7-7C33-4801-87F1-95FBB52344FF}"/>
    <cellStyle name="Normal 4 2 5 2 5 4" xfId="11640" xr:uid="{FE20EE2B-039C-42D6-847D-CFC34C7404BA}"/>
    <cellStyle name="Normal 4 2 5 2 6" xfId="2484" xr:uid="{00000000-0005-0000-0000-0000DB090000}"/>
    <cellStyle name="Normal 4 2 5 2 6 2" xfId="6767" xr:uid="{00000000-0005-0000-0000-0000961A0000}"/>
    <cellStyle name="Normal 4 2 5 2 6 2 2" xfId="16358" xr:uid="{413325DD-6A32-43CB-931D-BBAF0E807419}"/>
    <cellStyle name="Normal 4 2 5 2 6 3" xfId="12076" xr:uid="{D752732E-0DCD-425C-A248-4B7F96A8FD5C}"/>
    <cellStyle name="Normal 4 2 5 2 7" xfId="4702" xr:uid="{00000000-0005-0000-0000-000085120000}"/>
    <cellStyle name="Normal 4 2 5 2 7 2" xfId="14293" xr:uid="{4CD02707-BA9F-4EF0-9391-A8A48C059315}"/>
    <cellStyle name="Normal 4 2 5 2 8" xfId="9014" xr:uid="{00000000-0005-0000-0000-00005D230000}"/>
    <cellStyle name="Normal 4 2 5 2 9" xfId="9927" xr:uid="{82DEF6E5-1162-44D9-A907-885C3FD55A63}"/>
    <cellStyle name="Normal 4 2 5 3" xfId="800" xr:uid="{00000000-0005-0000-0000-000047030000}"/>
    <cellStyle name="Normal 4 2 5 3 2" xfId="3037" xr:uid="{00000000-0005-0000-0000-0000040C0000}"/>
    <cellStyle name="Normal 4 2 5 3 2 2" xfId="7259" xr:uid="{00000000-0005-0000-0000-0000821C0000}"/>
    <cellStyle name="Normal 4 2 5 3 2 2 2" xfId="16850" xr:uid="{2C557C8A-1054-4FEF-BAA1-999D2E914624}"/>
    <cellStyle name="Normal 4 2 5 3 2 3" xfId="12629" xr:uid="{A93E8E14-22D7-4B9B-B8AE-B441AB8B0EB2}"/>
    <cellStyle name="Normal 4 2 5 3 3" xfId="5114" xr:uid="{00000000-0005-0000-0000-000021140000}"/>
    <cellStyle name="Normal 4 2 5 3 3 2" xfId="14705" xr:uid="{ACEE93F2-2E05-4358-894A-479112A4361A}"/>
    <cellStyle name="Normal 4 2 5 3 4" xfId="9232" xr:uid="{00000000-0005-0000-0000-000037240000}"/>
    <cellStyle name="Normal 4 2 5 3 5" xfId="10393" xr:uid="{01EA0E77-1E1C-4B2D-9917-05E25AC95149}"/>
    <cellStyle name="Normal 4 2 5 4" xfId="1220" xr:uid="{00000000-0005-0000-0000-0000EB040000}"/>
    <cellStyle name="Normal 4 2 5 4 2" xfId="3450" xr:uid="{00000000-0005-0000-0000-0000A10D0000}"/>
    <cellStyle name="Normal 4 2 5 4 2 2" xfId="7672" xr:uid="{00000000-0005-0000-0000-00001F1E0000}"/>
    <cellStyle name="Normal 4 2 5 4 2 2 2" xfId="17263" xr:uid="{0C5644D4-60B2-4F7C-B38A-05239E9754CC}"/>
    <cellStyle name="Normal 4 2 5 4 2 3" xfId="13042" xr:uid="{03D09187-7955-44E2-8626-C3F08EAD77F5}"/>
    <cellStyle name="Normal 4 2 5 4 3" xfId="5527" xr:uid="{00000000-0005-0000-0000-0000BE150000}"/>
    <cellStyle name="Normal 4 2 5 4 3 2" xfId="15118" xr:uid="{9E5BBA70-942A-4080-8621-FAB3E9350CF5}"/>
    <cellStyle name="Normal 4 2 5 4 4" xfId="10813" xr:uid="{5BBBBD3B-7481-4E92-A839-CF31A39B0ADF}"/>
    <cellStyle name="Normal 4 2 5 5" xfId="1633" xr:uid="{00000000-0005-0000-0000-000088060000}"/>
    <cellStyle name="Normal 4 2 5 5 2" xfId="3863" xr:uid="{00000000-0005-0000-0000-00003E0F0000}"/>
    <cellStyle name="Normal 4 2 5 5 2 2" xfId="8085" xr:uid="{00000000-0005-0000-0000-0000BC1F0000}"/>
    <cellStyle name="Normal 4 2 5 5 2 2 2" xfId="17676" xr:uid="{C1D709C0-B19F-4B32-A607-51F9E71B3D8A}"/>
    <cellStyle name="Normal 4 2 5 5 2 3" xfId="13455" xr:uid="{1DC82D1B-41B8-4EE0-BD25-4FB289B160A9}"/>
    <cellStyle name="Normal 4 2 5 5 3" xfId="5940" xr:uid="{00000000-0005-0000-0000-00005B170000}"/>
    <cellStyle name="Normal 4 2 5 5 3 2" xfId="15531" xr:uid="{5970B0CE-9986-43C2-B351-B2C4E4C5E2FB}"/>
    <cellStyle name="Normal 4 2 5 5 4" xfId="11226" xr:uid="{779011EA-0CB5-4FC8-8FA2-0955CBDBB083}"/>
    <cellStyle name="Normal 4 2 5 6" xfId="2047" xr:uid="{00000000-0005-0000-0000-000026080000}"/>
    <cellStyle name="Normal 4 2 5 6 2" xfId="4276" xr:uid="{00000000-0005-0000-0000-0000DB100000}"/>
    <cellStyle name="Normal 4 2 5 6 2 2" xfId="8498" xr:uid="{00000000-0005-0000-0000-000059210000}"/>
    <cellStyle name="Normal 4 2 5 6 2 2 2" xfId="18089" xr:uid="{90C5D5E8-6C44-439D-ACAE-5F7AE8F848B6}"/>
    <cellStyle name="Normal 4 2 5 6 2 3" xfId="13868" xr:uid="{6B4B8EB6-5260-42C4-BCC8-1768C5C8F5C9}"/>
    <cellStyle name="Normal 4 2 5 6 3" xfId="6353" xr:uid="{00000000-0005-0000-0000-0000F8180000}"/>
    <cellStyle name="Normal 4 2 5 6 3 2" xfId="15944" xr:uid="{5F0A6347-3090-4C6A-909A-A1665CE378CF}"/>
    <cellStyle name="Normal 4 2 5 6 4" xfId="11639" xr:uid="{08A99823-E5FA-495A-8EF7-C0D834570DB2}"/>
    <cellStyle name="Normal 4 2 5 7" xfId="2483" xr:uid="{00000000-0005-0000-0000-0000DA090000}"/>
    <cellStyle name="Normal 4 2 5 7 2" xfId="6766" xr:uid="{00000000-0005-0000-0000-0000951A0000}"/>
    <cellStyle name="Normal 4 2 5 7 2 2" xfId="16357" xr:uid="{BCBB5809-C770-48BA-AC43-D12FC87B3F72}"/>
    <cellStyle name="Normal 4 2 5 7 3" xfId="12075" xr:uid="{2B0EFF3F-D697-4033-ACFC-DA240361C892}"/>
    <cellStyle name="Normal 4 2 5 8" xfId="4701" xr:uid="{00000000-0005-0000-0000-000084120000}"/>
    <cellStyle name="Normal 4 2 5 8 2" xfId="14292" xr:uid="{CC0EC488-F323-4A06-B459-EFDDBB36AFA7}"/>
    <cellStyle name="Normal 4 2 5 9" xfId="8807" xr:uid="{00000000-0005-0000-0000-00008E220000}"/>
    <cellStyle name="Normal 4 2 6" xfId="329" xr:uid="{00000000-0005-0000-0000-00006D010000}"/>
    <cellStyle name="Normal 4 2 6 2" xfId="802" xr:uid="{00000000-0005-0000-0000-000049030000}"/>
    <cellStyle name="Normal 4 2 6 2 2" xfId="3039" xr:uid="{00000000-0005-0000-0000-0000060C0000}"/>
    <cellStyle name="Normal 4 2 6 2 2 2" xfId="7261" xr:uid="{00000000-0005-0000-0000-0000841C0000}"/>
    <cellStyle name="Normal 4 2 6 2 2 2 2" xfId="16852" xr:uid="{F865DA4C-2159-486C-955E-4C0CC6907ECD}"/>
    <cellStyle name="Normal 4 2 6 2 2 3" xfId="12631" xr:uid="{7317C295-C130-45D8-8558-A262516F71C0}"/>
    <cellStyle name="Normal 4 2 6 2 3" xfId="5116" xr:uid="{00000000-0005-0000-0000-000023140000}"/>
    <cellStyle name="Normal 4 2 6 2 3 2" xfId="14707" xr:uid="{FF688E91-0992-43F5-864F-2EEC1F89DEBA}"/>
    <cellStyle name="Normal 4 2 6 2 4" xfId="9348" xr:uid="{00000000-0005-0000-0000-0000AB240000}"/>
    <cellStyle name="Normal 4 2 6 2 5" xfId="10395" xr:uid="{257264A4-C298-4A5E-B206-8650EC8D696D}"/>
    <cellStyle name="Normal 4 2 6 3" xfId="1222" xr:uid="{00000000-0005-0000-0000-0000ED040000}"/>
    <cellStyle name="Normal 4 2 6 3 2" xfId="3452" xr:uid="{00000000-0005-0000-0000-0000A30D0000}"/>
    <cellStyle name="Normal 4 2 6 3 2 2" xfId="7674" xr:uid="{00000000-0005-0000-0000-0000211E0000}"/>
    <cellStyle name="Normal 4 2 6 3 2 2 2" xfId="17265" xr:uid="{A34AA3C9-3537-42AA-8BE5-9E10E816DE4D}"/>
    <cellStyle name="Normal 4 2 6 3 2 3" xfId="13044" xr:uid="{7B433804-D3C3-43B6-BD23-1F25867D521C}"/>
    <cellStyle name="Normal 4 2 6 3 3" xfId="5529" xr:uid="{00000000-0005-0000-0000-0000C0150000}"/>
    <cellStyle name="Normal 4 2 6 3 3 2" xfId="15120" xr:uid="{E5ECE40C-DF0C-468B-89E2-004B6DFCAE41}"/>
    <cellStyle name="Normal 4 2 6 3 4" xfId="10815" xr:uid="{C42C6910-9BCA-4C9A-9638-3012426C2920}"/>
    <cellStyle name="Normal 4 2 6 4" xfId="1635" xr:uid="{00000000-0005-0000-0000-00008A060000}"/>
    <cellStyle name="Normal 4 2 6 4 2" xfId="3865" xr:uid="{00000000-0005-0000-0000-0000400F0000}"/>
    <cellStyle name="Normal 4 2 6 4 2 2" xfId="8087" xr:uid="{00000000-0005-0000-0000-0000BE1F0000}"/>
    <cellStyle name="Normal 4 2 6 4 2 2 2" xfId="17678" xr:uid="{C4F8BC35-5FF3-42A7-A95A-5805DBD1E0CD}"/>
    <cellStyle name="Normal 4 2 6 4 2 3" xfId="13457" xr:uid="{C72306BE-F284-49B2-ACAC-C5654F6E06C1}"/>
    <cellStyle name="Normal 4 2 6 4 3" xfId="5942" xr:uid="{00000000-0005-0000-0000-00005D170000}"/>
    <cellStyle name="Normal 4 2 6 4 3 2" xfId="15533" xr:uid="{8692B9B0-3A1F-4B08-8FBB-0F052C4D7AAA}"/>
    <cellStyle name="Normal 4 2 6 4 4" xfId="11228" xr:uid="{2EBEA1C2-9A61-4C93-9A35-38960AD4AFA1}"/>
    <cellStyle name="Normal 4 2 6 5" xfId="2049" xr:uid="{00000000-0005-0000-0000-000028080000}"/>
    <cellStyle name="Normal 4 2 6 5 2" xfId="4278" xr:uid="{00000000-0005-0000-0000-0000DD100000}"/>
    <cellStyle name="Normal 4 2 6 5 2 2" xfId="8500" xr:uid="{00000000-0005-0000-0000-00005B210000}"/>
    <cellStyle name="Normal 4 2 6 5 2 2 2" xfId="18091" xr:uid="{365718E5-01E8-4C0A-A1CD-44DE3F5DBBB7}"/>
    <cellStyle name="Normal 4 2 6 5 2 3" xfId="13870" xr:uid="{3BE4B191-026E-442B-BE3C-D28BC3FAFEF9}"/>
    <cellStyle name="Normal 4 2 6 5 3" xfId="6355" xr:uid="{00000000-0005-0000-0000-0000FA180000}"/>
    <cellStyle name="Normal 4 2 6 5 3 2" xfId="15946" xr:uid="{C079E28C-6947-4AE0-B32A-6B69AB941EE6}"/>
    <cellStyle name="Normal 4 2 6 5 4" xfId="11641" xr:uid="{406AA92D-947D-450D-93FE-7E987200EC4C}"/>
    <cellStyle name="Normal 4 2 6 6" xfId="2485" xr:uid="{00000000-0005-0000-0000-0000DC090000}"/>
    <cellStyle name="Normal 4 2 6 6 2" xfId="6768" xr:uid="{00000000-0005-0000-0000-0000971A0000}"/>
    <cellStyle name="Normal 4 2 6 6 2 2" xfId="16359" xr:uid="{B06E005A-0324-42C9-90B8-B0F52E0D7187}"/>
    <cellStyle name="Normal 4 2 6 6 3" xfId="12077" xr:uid="{A3543D84-5B3E-4784-815F-74041B5B34E7}"/>
    <cellStyle name="Normal 4 2 6 7" xfId="4703" xr:uid="{00000000-0005-0000-0000-000086120000}"/>
    <cellStyle name="Normal 4 2 6 7 2" xfId="14294" xr:uid="{0B1D6AF5-2C69-4FF0-BB5E-D03E75C76E3E}"/>
    <cellStyle name="Normal 4 2 6 8" xfId="8923" xr:uid="{00000000-0005-0000-0000-000002230000}"/>
    <cellStyle name="Normal 4 2 6 9" xfId="9928" xr:uid="{24CA3507-6DAA-4923-A444-92CE58187E6C}"/>
    <cellStyle name="Normal 4 2 7" xfId="9126" xr:uid="{00000000-0005-0000-0000-0000CD230000}"/>
    <cellStyle name="Normal 4 2 8" xfId="8704" xr:uid="{00000000-0005-0000-0000-000027220000}"/>
    <cellStyle name="Normal 4 3" xfId="330" xr:uid="{00000000-0005-0000-0000-00006E010000}"/>
    <cellStyle name="Normal 4 3 10" xfId="9929" xr:uid="{8A6B5EE4-6E08-46AE-943D-B48B8D48A44F}"/>
    <cellStyle name="Normal 4 3 2" xfId="331" xr:uid="{00000000-0005-0000-0000-00006F010000}"/>
    <cellStyle name="Normal 4 3 2 2" xfId="332" xr:uid="{00000000-0005-0000-0000-000070010000}"/>
    <cellStyle name="Normal 4 3 2 2 2" xfId="333" xr:uid="{00000000-0005-0000-0000-000071010000}"/>
    <cellStyle name="Normal 4 3 2 2 2 10" xfId="8783" xr:uid="{00000000-0005-0000-0000-000076220000}"/>
    <cellStyle name="Normal 4 3 2 2 2 11" xfId="9932" xr:uid="{9BF55023-014D-4FE1-B925-04E8506D0040}"/>
    <cellStyle name="Normal 4 3 2 2 2 2" xfId="334" xr:uid="{00000000-0005-0000-0000-000072010000}"/>
    <cellStyle name="Normal 4 3 2 2 2 2 10" xfId="9933" xr:uid="{94F91881-6096-4899-B1DF-F5897F6AE0E1}"/>
    <cellStyle name="Normal 4 3 2 2 2 2 2" xfId="335" xr:uid="{00000000-0005-0000-0000-000073010000}"/>
    <cellStyle name="Normal 4 3 2 2 2 2 2 2" xfId="807" xr:uid="{00000000-0005-0000-0000-00004E030000}"/>
    <cellStyle name="Normal 4 3 2 2 2 2 2 2 2" xfId="3043" xr:uid="{00000000-0005-0000-0000-00000A0C0000}"/>
    <cellStyle name="Normal 4 3 2 2 2 2 2 2 2 2" xfId="7265" xr:uid="{00000000-0005-0000-0000-0000881C0000}"/>
    <cellStyle name="Normal 4 3 2 2 2 2 2 2 2 2 2" xfId="16856" xr:uid="{A81CA1B4-8C1D-49B2-90CD-D4819D988B59}"/>
    <cellStyle name="Normal 4 3 2 2 2 2 2 2 2 3" xfId="12635" xr:uid="{F4EDB836-DC6F-4174-B397-69B5C6BFFE98}"/>
    <cellStyle name="Normal 4 3 2 2 2 2 2 2 3" xfId="5120" xr:uid="{00000000-0005-0000-0000-000027140000}"/>
    <cellStyle name="Normal 4 3 2 2 2 2 2 2 3 2" xfId="14711" xr:uid="{1EAE381C-F5E1-4DD6-B39A-55B95B2D2AD6}"/>
    <cellStyle name="Normal 4 3 2 2 2 2 2 2 4" xfId="9518" xr:uid="{00000000-0005-0000-0000-000055250000}"/>
    <cellStyle name="Normal 4 3 2 2 2 2 2 2 5" xfId="10400" xr:uid="{F338B12F-8C85-4B90-8691-F4D01D58D797}"/>
    <cellStyle name="Normal 4 3 2 2 2 2 2 3" xfId="1226" xr:uid="{00000000-0005-0000-0000-0000F1040000}"/>
    <cellStyle name="Normal 4 3 2 2 2 2 2 3 2" xfId="3456" xr:uid="{00000000-0005-0000-0000-0000A70D0000}"/>
    <cellStyle name="Normal 4 3 2 2 2 2 2 3 2 2" xfId="7678" xr:uid="{00000000-0005-0000-0000-0000251E0000}"/>
    <cellStyle name="Normal 4 3 2 2 2 2 2 3 2 2 2" xfId="17269" xr:uid="{FF36CDA3-2EEF-4B45-89C7-340717DC0201}"/>
    <cellStyle name="Normal 4 3 2 2 2 2 2 3 2 3" xfId="13048" xr:uid="{B26DEE8F-7859-4DF8-A3E8-31B13E107E6E}"/>
    <cellStyle name="Normal 4 3 2 2 2 2 2 3 3" xfId="5533" xr:uid="{00000000-0005-0000-0000-0000C4150000}"/>
    <cellStyle name="Normal 4 3 2 2 2 2 2 3 3 2" xfId="15124" xr:uid="{8370AAE8-EA42-4857-AC71-5C1D01809605}"/>
    <cellStyle name="Normal 4 3 2 2 2 2 2 3 4" xfId="10819" xr:uid="{01F1F837-079B-48E8-8C1A-146F08281F89}"/>
    <cellStyle name="Normal 4 3 2 2 2 2 2 4" xfId="1639" xr:uid="{00000000-0005-0000-0000-00008E060000}"/>
    <cellStyle name="Normal 4 3 2 2 2 2 2 4 2" xfId="3869" xr:uid="{00000000-0005-0000-0000-0000440F0000}"/>
    <cellStyle name="Normal 4 3 2 2 2 2 2 4 2 2" xfId="8091" xr:uid="{00000000-0005-0000-0000-0000C21F0000}"/>
    <cellStyle name="Normal 4 3 2 2 2 2 2 4 2 2 2" xfId="17682" xr:uid="{044982A4-9F5E-4746-823E-A76DA4FFA41A}"/>
    <cellStyle name="Normal 4 3 2 2 2 2 2 4 2 3" xfId="13461" xr:uid="{03957F57-3645-4EA3-B8CE-C682402A4B10}"/>
    <cellStyle name="Normal 4 3 2 2 2 2 2 4 3" xfId="5946" xr:uid="{00000000-0005-0000-0000-000061170000}"/>
    <cellStyle name="Normal 4 3 2 2 2 2 2 4 3 2" xfId="15537" xr:uid="{A06B6272-1FEF-4588-B61B-51E22C7D5506}"/>
    <cellStyle name="Normal 4 3 2 2 2 2 2 4 4" xfId="11232" xr:uid="{F4D668DB-12D8-4046-A918-78EDEB47414C}"/>
    <cellStyle name="Normal 4 3 2 2 2 2 2 5" xfId="2053" xr:uid="{00000000-0005-0000-0000-00002C080000}"/>
    <cellStyle name="Normal 4 3 2 2 2 2 2 5 2" xfId="4282" xr:uid="{00000000-0005-0000-0000-0000E1100000}"/>
    <cellStyle name="Normal 4 3 2 2 2 2 2 5 2 2" xfId="8504" xr:uid="{00000000-0005-0000-0000-00005F210000}"/>
    <cellStyle name="Normal 4 3 2 2 2 2 2 5 2 2 2" xfId="18095" xr:uid="{3AA31B57-DB82-4624-A3F3-54A6F3E21255}"/>
    <cellStyle name="Normal 4 3 2 2 2 2 2 5 2 3" xfId="13874" xr:uid="{4FBEB354-A28F-4995-86AE-FBD6A6B982AF}"/>
    <cellStyle name="Normal 4 3 2 2 2 2 2 5 3" xfId="6359" xr:uid="{00000000-0005-0000-0000-0000FE180000}"/>
    <cellStyle name="Normal 4 3 2 2 2 2 2 5 3 2" xfId="15950" xr:uid="{161E2AF7-E22E-4454-B8DA-7CDE39BEF7B5}"/>
    <cellStyle name="Normal 4 3 2 2 2 2 2 5 4" xfId="11645" xr:uid="{20E4D6B4-330C-4231-B9BC-5570691CCCBD}"/>
    <cellStyle name="Normal 4 3 2 2 2 2 2 6" xfId="2489" xr:uid="{00000000-0005-0000-0000-0000E0090000}"/>
    <cellStyle name="Normal 4 3 2 2 2 2 2 6 2" xfId="6772" xr:uid="{00000000-0005-0000-0000-00009B1A0000}"/>
    <cellStyle name="Normal 4 3 2 2 2 2 2 6 2 2" xfId="16363" xr:uid="{BE7A5FF2-33B3-41DF-8500-58640657FCE5}"/>
    <cellStyle name="Normal 4 3 2 2 2 2 2 6 3" xfId="12081" xr:uid="{538635E0-2D8B-4199-9C35-F7735F63E00C}"/>
    <cellStyle name="Normal 4 3 2 2 2 2 2 7" xfId="4707" xr:uid="{00000000-0005-0000-0000-00008A120000}"/>
    <cellStyle name="Normal 4 3 2 2 2 2 2 7 2" xfId="14298" xr:uid="{2AA6E3E3-01AE-4A44-B3A7-D0D0C258D73A}"/>
    <cellStyle name="Normal 4 3 2 2 2 2 2 8" xfId="9093" xr:uid="{00000000-0005-0000-0000-0000AC230000}"/>
    <cellStyle name="Normal 4 3 2 2 2 2 2 9" xfId="9934" xr:uid="{06BF575E-23B1-4451-883A-E04D65178C4C}"/>
    <cellStyle name="Normal 4 3 2 2 2 2 3" xfId="806" xr:uid="{00000000-0005-0000-0000-00004D030000}"/>
    <cellStyle name="Normal 4 3 2 2 2 2 3 2" xfId="3042" xr:uid="{00000000-0005-0000-0000-0000090C0000}"/>
    <cellStyle name="Normal 4 3 2 2 2 2 3 2 2" xfId="7264" xr:uid="{00000000-0005-0000-0000-0000871C0000}"/>
    <cellStyle name="Normal 4 3 2 2 2 2 3 2 2 2" xfId="16855" xr:uid="{F2DBAD57-0C2F-4F58-A707-2BA99FAC83D9}"/>
    <cellStyle name="Normal 4 3 2 2 2 2 3 2 3" xfId="12634" xr:uid="{031824F2-5A91-426A-9523-37ABC2F2E19A}"/>
    <cellStyle name="Normal 4 3 2 2 2 2 3 3" xfId="5119" xr:uid="{00000000-0005-0000-0000-000026140000}"/>
    <cellStyle name="Normal 4 3 2 2 2 2 3 3 2" xfId="14710" xr:uid="{FAE8751F-A420-4032-AAD9-D49E2B1138CB}"/>
    <cellStyle name="Normal 4 3 2 2 2 2 3 4" xfId="9311" xr:uid="{00000000-0005-0000-0000-000086240000}"/>
    <cellStyle name="Normal 4 3 2 2 2 2 3 5" xfId="10399" xr:uid="{BB9DC487-E8FF-474F-8128-0F2009DD7A7B}"/>
    <cellStyle name="Normal 4 3 2 2 2 2 4" xfId="1225" xr:uid="{00000000-0005-0000-0000-0000F0040000}"/>
    <cellStyle name="Normal 4 3 2 2 2 2 4 2" xfId="3455" xr:uid="{00000000-0005-0000-0000-0000A60D0000}"/>
    <cellStyle name="Normal 4 3 2 2 2 2 4 2 2" xfId="7677" xr:uid="{00000000-0005-0000-0000-0000241E0000}"/>
    <cellStyle name="Normal 4 3 2 2 2 2 4 2 2 2" xfId="17268" xr:uid="{4C789EDE-5FAD-41DF-84FC-21DC9860FD34}"/>
    <cellStyle name="Normal 4 3 2 2 2 2 4 2 3" xfId="13047" xr:uid="{AE3575C6-ABD1-4969-85AD-AB31EA17C3CE}"/>
    <cellStyle name="Normal 4 3 2 2 2 2 4 3" xfId="5532" xr:uid="{00000000-0005-0000-0000-0000C3150000}"/>
    <cellStyle name="Normal 4 3 2 2 2 2 4 3 2" xfId="15123" xr:uid="{57D43EA7-D1CE-43B7-AE32-3650D27CD462}"/>
    <cellStyle name="Normal 4 3 2 2 2 2 4 4" xfId="10818" xr:uid="{D3EFF360-F384-46A2-AAE0-943DFCAFE0AC}"/>
    <cellStyle name="Normal 4 3 2 2 2 2 5" xfId="1638" xr:uid="{00000000-0005-0000-0000-00008D060000}"/>
    <cellStyle name="Normal 4 3 2 2 2 2 5 2" xfId="3868" xr:uid="{00000000-0005-0000-0000-0000430F0000}"/>
    <cellStyle name="Normal 4 3 2 2 2 2 5 2 2" xfId="8090" xr:uid="{00000000-0005-0000-0000-0000C11F0000}"/>
    <cellStyle name="Normal 4 3 2 2 2 2 5 2 2 2" xfId="17681" xr:uid="{4C810F38-E7BF-43D8-8D4E-F241D5EF5351}"/>
    <cellStyle name="Normal 4 3 2 2 2 2 5 2 3" xfId="13460" xr:uid="{BE8E17E5-17A0-4B1E-8486-7FD57190CCD6}"/>
    <cellStyle name="Normal 4 3 2 2 2 2 5 3" xfId="5945" xr:uid="{00000000-0005-0000-0000-000060170000}"/>
    <cellStyle name="Normal 4 3 2 2 2 2 5 3 2" xfId="15536" xr:uid="{61F95059-7CFE-4851-BECA-7055DCE9901F}"/>
    <cellStyle name="Normal 4 3 2 2 2 2 5 4" xfId="11231" xr:uid="{0F36E5AE-8A5C-4846-B805-0642D8714814}"/>
    <cellStyle name="Normal 4 3 2 2 2 2 6" xfId="2052" xr:uid="{00000000-0005-0000-0000-00002B080000}"/>
    <cellStyle name="Normal 4 3 2 2 2 2 6 2" xfId="4281" xr:uid="{00000000-0005-0000-0000-0000E0100000}"/>
    <cellStyle name="Normal 4 3 2 2 2 2 6 2 2" xfId="8503" xr:uid="{00000000-0005-0000-0000-00005E210000}"/>
    <cellStyle name="Normal 4 3 2 2 2 2 6 2 2 2" xfId="18094" xr:uid="{47E16955-15BB-48F6-8079-26757D6F4DEC}"/>
    <cellStyle name="Normal 4 3 2 2 2 2 6 2 3" xfId="13873" xr:uid="{286CA313-AAAA-4605-B1AC-5E7D2A2F3287}"/>
    <cellStyle name="Normal 4 3 2 2 2 2 6 3" xfId="6358" xr:uid="{00000000-0005-0000-0000-0000FD180000}"/>
    <cellStyle name="Normal 4 3 2 2 2 2 6 3 2" xfId="15949" xr:uid="{B400BE77-FDDB-4D11-BE0D-AC3DD747A97F}"/>
    <cellStyle name="Normal 4 3 2 2 2 2 6 4" xfId="11644" xr:uid="{CFF18741-F08C-4A86-B191-2A879966530E}"/>
    <cellStyle name="Normal 4 3 2 2 2 2 7" xfId="2488" xr:uid="{00000000-0005-0000-0000-0000DF090000}"/>
    <cellStyle name="Normal 4 3 2 2 2 2 7 2" xfId="6771" xr:uid="{00000000-0005-0000-0000-00009A1A0000}"/>
    <cellStyle name="Normal 4 3 2 2 2 2 7 2 2" xfId="16362" xr:uid="{2A750EC8-E6F1-41E6-A58B-30F15762090F}"/>
    <cellStyle name="Normal 4 3 2 2 2 2 7 3" xfId="12080" xr:uid="{427FA89A-5C33-43D5-850F-BA437B2ECC80}"/>
    <cellStyle name="Normal 4 3 2 2 2 2 8" xfId="4706" xr:uid="{00000000-0005-0000-0000-000089120000}"/>
    <cellStyle name="Normal 4 3 2 2 2 2 8 2" xfId="14297" xr:uid="{4A808410-CB95-499F-8087-D0F38D3864B0}"/>
    <cellStyle name="Normal 4 3 2 2 2 2 9" xfId="8886" xr:uid="{00000000-0005-0000-0000-0000DD220000}"/>
    <cellStyle name="Normal 4 3 2 2 2 3" xfId="336" xr:uid="{00000000-0005-0000-0000-000074010000}"/>
    <cellStyle name="Normal 4 3 2 2 2 3 2" xfId="808" xr:uid="{00000000-0005-0000-0000-00004F030000}"/>
    <cellStyle name="Normal 4 3 2 2 2 3 2 2" xfId="3044" xr:uid="{00000000-0005-0000-0000-00000B0C0000}"/>
    <cellStyle name="Normal 4 3 2 2 2 3 2 2 2" xfId="7266" xr:uid="{00000000-0005-0000-0000-0000891C0000}"/>
    <cellStyle name="Normal 4 3 2 2 2 3 2 2 2 2" xfId="16857" xr:uid="{7CC73E11-2DEC-4EF3-9F53-558E9DD2AFC1}"/>
    <cellStyle name="Normal 4 3 2 2 2 3 2 2 3" xfId="12636" xr:uid="{3D8E774D-8B9D-4033-B896-927E638F53B8}"/>
    <cellStyle name="Normal 4 3 2 2 2 3 2 3" xfId="5121" xr:uid="{00000000-0005-0000-0000-000028140000}"/>
    <cellStyle name="Normal 4 3 2 2 2 3 2 3 2" xfId="14712" xr:uid="{245F8A36-A5E8-4B68-B475-B17016EAA367}"/>
    <cellStyle name="Normal 4 3 2 2 2 3 2 4" xfId="9415" xr:uid="{00000000-0005-0000-0000-0000EE240000}"/>
    <cellStyle name="Normal 4 3 2 2 2 3 2 5" xfId="10401" xr:uid="{D633EF54-ECF3-4302-91E7-4096A0EED12F}"/>
    <cellStyle name="Normal 4 3 2 2 2 3 3" xfId="1227" xr:uid="{00000000-0005-0000-0000-0000F2040000}"/>
    <cellStyle name="Normal 4 3 2 2 2 3 3 2" xfId="3457" xr:uid="{00000000-0005-0000-0000-0000A80D0000}"/>
    <cellStyle name="Normal 4 3 2 2 2 3 3 2 2" xfId="7679" xr:uid="{00000000-0005-0000-0000-0000261E0000}"/>
    <cellStyle name="Normal 4 3 2 2 2 3 3 2 2 2" xfId="17270" xr:uid="{69B79325-A306-48A3-BA6E-6AE9F30D5ABF}"/>
    <cellStyle name="Normal 4 3 2 2 2 3 3 2 3" xfId="13049" xr:uid="{826381C7-37BB-40EA-83C0-AB0F617BDAA5}"/>
    <cellStyle name="Normal 4 3 2 2 2 3 3 3" xfId="5534" xr:uid="{00000000-0005-0000-0000-0000C5150000}"/>
    <cellStyle name="Normal 4 3 2 2 2 3 3 3 2" xfId="15125" xr:uid="{84FD1E6D-C22A-406D-A1C7-D33153293A50}"/>
    <cellStyle name="Normal 4 3 2 2 2 3 3 4" xfId="10820" xr:uid="{0EF0D20E-2469-4C3D-95AD-729950E5B4A3}"/>
    <cellStyle name="Normal 4 3 2 2 2 3 4" xfId="1640" xr:uid="{00000000-0005-0000-0000-00008F060000}"/>
    <cellStyle name="Normal 4 3 2 2 2 3 4 2" xfId="3870" xr:uid="{00000000-0005-0000-0000-0000450F0000}"/>
    <cellStyle name="Normal 4 3 2 2 2 3 4 2 2" xfId="8092" xr:uid="{00000000-0005-0000-0000-0000C31F0000}"/>
    <cellStyle name="Normal 4 3 2 2 2 3 4 2 2 2" xfId="17683" xr:uid="{1F6988AB-D97B-439E-94B2-FFF8F0AEFF54}"/>
    <cellStyle name="Normal 4 3 2 2 2 3 4 2 3" xfId="13462" xr:uid="{83974BB2-A1E3-4F69-A5B4-904FE80597C3}"/>
    <cellStyle name="Normal 4 3 2 2 2 3 4 3" xfId="5947" xr:uid="{00000000-0005-0000-0000-000062170000}"/>
    <cellStyle name="Normal 4 3 2 2 2 3 4 3 2" xfId="15538" xr:uid="{221D6E8E-C11C-4114-99AB-EEA662A04132}"/>
    <cellStyle name="Normal 4 3 2 2 2 3 4 4" xfId="11233" xr:uid="{5EFC5D65-1769-48C0-A876-8FF35A4C2558}"/>
    <cellStyle name="Normal 4 3 2 2 2 3 5" xfId="2054" xr:uid="{00000000-0005-0000-0000-00002D080000}"/>
    <cellStyle name="Normal 4 3 2 2 2 3 5 2" xfId="4283" xr:uid="{00000000-0005-0000-0000-0000E2100000}"/>
    <cellStyle name="Normal 4 3 2 2 2 3 5 2 2" xfId="8505" xr:uid="{00000000-0005-0000-0000-000060210000}"/>
    <cellStyle name="Normal 4 3 2 2 2 3 5 2 2 2" xfId="18096" xr:uid="{D78BBAFF-AE51-44AF-BB5D-C173886BBB68}"/>
    <cellStyle name="Normal 4 3 2 2 2 3 5 2 3" xfId="13875" xr:uid="{64279A9B-95DF-499F-A039-D30B2EAF051D}"/>
    <cellStyle name="Normal 4 3 2 2 2 3 5 3" xfId="6360" xr:uid="{00000000-0005-0000-0000-0000FF180000}"/>
    <cellStyle name="Normal 4 3 2 2 2 3 5 3 2" xfId="15951" xr:uid="{C7A3ABE4-A27E-4D0E-AE05-4E68B5D00A91}"/>
    <cellStyle name="Normal 4 3 2 2 2 3 5 4" xfId="11646" xr:uid="{C8A84FC8-5676-4ECA-9FF9-69F46098059A}"/>
    <cellStyle name="Normal 4 3 2 2 2 3 6" xfId="2490" xr:uid="{00000000-0005-0000-0000-0000E1090000}"/>
    <cellStyle name="Normal 4 3 2 2 2 3 6 2" xfId="6773" xr:uid="{00000000-0005-0000-0000-00009C1A0000}"/>
    <cellStyle name="Normal 4 3 2 2 2 3 6 2 2" xfId="16364" xr:uid="{C59DCE6F-DF0F-4E57-B113-F22D3E6751C8}"/>
    <cellStyle name="Normal 4 3 2 2 2 3 6 3" xfId="12082" xr:uid="{7166D0F3-DE51-4099-800D-5ACEF62666C6}"/>
    <cellStyle name="Normal 4 3 2 2 2 3 7" xfId="4708" xr:uid="{00000000-0005-0000-0000-00008B120000}"/>
    <cellStyle name="Normal 4 3 2 2 2 3 7 2" xfId="14299" xr:uid="{CA876CD3-ED32-4E67-842A-1E2C0EF600D7}"/>
    <cellStyle name="Normal 4 3 2 2 2 3 8" xfId="8990" xr:uid="{00000000-0005-0000-0000-000045230000}"/>
    <cellStyle name="Normal 4 3 2 2 2 3 9" xfId="9935" xr:uid="{7C624D6C-35CB-4D92-86BD-C69AE9E5E90D}"/>
    <cellStyle name="Normal 4 3 2 2 2 4" xfId="805" xr:uid="{00000000-0005-0000-0000-00004C030000}"/>
    <cellStyle name="Normal 4 3 2 2 2 4 2" xfId="3041" xr:uid="{00000000-0005-0000-0000-0000080C0000}"/>
    <cellStyle name="Normal 4 3 2 2 2 4 2 2" xfId="7263" xr:uid="{00000000-0005-0000-0000-0000861C0000}"/>
    <cellStyle name="Normal 4 3 2 2 2 4 2 2 2" xfId="16854" xr:uid="{14EA069F-3CCE-4025-A993-811FE77E8E22}"/>
    <cellStyle name="Normal 4 3 2 2 2 4 2 3" xfId="12633" xr:uid="{886DC640-B2C4-4CD1-B8F0-A5891D987084}"/>
    <cellStyle name="Normal 4 3 2 2 2 4 3" xfId="5118" xr:uid="{00000000-0005-0000-0000-000025140000}"/>
    <cellStyle name="Normal 4 3 2 2 2 4 3 2" xfId="14709" xr:uid="{BE13C446-C1BD-4A77-B63F-598FC5DFADF6}"/>
    <cellStyle name="Normal 4 3 2 2 2 4 4" xfId="9208" xr:uid="{00000000-0005-0000-0000-00001F240000}"/>
    <cellStyle name="Normal 4 3 2 2 2 4 5" xfId="10398" xr:uid="{70FDFD0B-FBC2-407D-849A-F182B2BB0ABD}"/>
    <cellStyle name="Normal 4 3 2 2 2 5" xfId="1224" xr:uid="{00000000-0005-0000-0000-0000EF040000}"/>
    <cellStyle name="Normal 4 3 2 2 2 5 2" xfId="3454" xr:uid="{00000000-0005-0000-0000-0000A50D0000}"/>
    <cellStyle name="Normal 4 3 2 2 2 5 2 2" xfId="7676" xr:uid="{00000000-0005-0000-0000-0000231E0000}"/>
    <cellStyle name="Normal 4 3 2 2 2 5 2 2 2" xfId="17267" xr:uid="{079C2F3E-FE14-418F-AE04-0BD516467D78}"/>
    <cellStyle name="Normal 4 3 2 2 2 5 2 3" xfId="13046" xr:uid="{5BE0136D-CF84-4EC3-B6C0-A54F9D674BED}"/>
    <cellStyle name="Normal 4 3 2 2 2 5 3" xfId="5531" xr:uid="{00000000-0005-0000-0000-0000C2150000}"/>
    <cellStyle name="Normal 4 3 2 2 2 5 3 2" xfId="15122" xr:uid="{F0FEA4DF-265F-4C00-AEF3-012F4778AB87}"/>
    <cellStyle name="Normal 4 3 2 2 2 5 4" xfId="10817" xr:uid="{A4966246-08B1-4A8F-AAFB-50C8A6999E21}"/>
    <cellStyle name="Normal 4 3 2 2 2 6" xfId="1637" xr:uid="{00000000-0005-0000-0000-00008C060000}"/>
    <cellStyle name="Normal 4 3 2 2 2 6 2" xfId="3867" xr:uid="{00000000-0005-0000-0000-0000420F0000}"/>
    <cellStyle name="Normal 4 3 2 2 2 6 2 2" xfId="8089" xr:uid="{00000000-0005-0000-0000-0000C01F0000}"/>
    <cellStyle name="Normal 4 3 2 2 2 6 2 2 2" xfId="17680" xr:uid="{867975C3-7E20-4751-8A5F-CB18A6C51F4A}"/>
    <cellStyle name="Normal 4 3 2 2 2 6 2 3" xfId="13459" xr:uid="{D56A3B96-9109-4E45-A1FD-D3A70A363DEC}"/>
    <cellStyle name="Normal 4 3 2 2 2 6 3" xfId="5944" xr:uid="{00000000-0005-0000-0000-00005F170000}"/>
    <cellStyle name="Normal 4 3 2 2 2 6 3 2" xfId="15535" xr:uid="{0D1C54C8-FA43-42A4-BCB9-A82681A964F6}"/>
    <cellStyle name="Normal 4 3 2 2 2 6 4" xfId="11230" xr:uid="{63A57EBA-B380-4243-98F7-21004CBF384B}"/>
    <cellStyle name="Normal 4 3 2 2 2 7" xfId="2051" xr:uid="{00000000-0005-0000-0000-00002A080000}"/>
    <cellStyle name="Normal 4 3 2 2 2 7 2" xfId="4280" xr:uid="{00000000-0005-0000-0000-0000DF100000}"/>
    <cellStyle name="Normal 4 3 2 2 2 7 2 2" xfId="8502" xr:uid="{00000000-0005-0000-0000-00005D210000}"/>
    <cellStyle name="Normal 4 3 2 2 2 7 2 2 2" xfId="18093" xr:uid="{34163D87-7A4B-4918-BBA4-8DD1F5BB3617}"/>
    <cellStyle name="Normal 4 3 2 2 2 7 2 3" xfId="13872" xr:uid="{CFAF0ACB-F93C-4A67-A1ED-8780D9636C7C}"/>
    <cellStyle name="Normal 4 3 2 2 2 7 3" xfId="6357" xr:uid="{00000000-0005-0000-0000-0000FC180000}"/>
    <cellStyle name="Normal 4 3 2 2 2 7 3 2" xfId="15948" xr:uid="{A21C4FE7-8675-4C1E-AF28-1ECC93F1AE84}"/>
    <cellStyle name="Normal 4 3 2 2 2 7 4" xfId="11643" xr:uid="{69AEFD0C-30E6-4C20-A0CE-2B49F31E76CB}"/>
    <cellStyle name="Normal 4 3 2 2 2 8" xfId="2487" xr:uid="{00000000-0005-0000-0000-0000DE090000}"/>
    <cellStyle name="Normal 4 3 2 2 2 8 2" xfId="6770" xr:uid="{00000000-0005-0000-0000-0000991A0000}"/>
    <cellStyle name="Normal 4 3 2 2 2 8 2 2" xfId="16361" xr:uid="{3A71DDAD-C009-4AE3-9266-BEB8AB50A8DC}"/>
    <cellStyle name="Normal 4 3 2 2 2 8 3" xfId="12079" xr:uid="{089D0ACF-F1BD-4DC6-BF0F-B94B5D6C508C}"/>
    <cellStyle name="Normal 4 3 2 2 2 9" xfId="4705" xr:uid="{00000000-0005-0000-0000-000088120000}"/>
    <cellStyle name="Normal 4 3 2 2 2 9 2" xfId="14296" xr:uid="{D695293E-ADC7-4D86-8D6C-E82A46A2DC8C}"/>
    <cellStyle name="Normal 4 3 2 2 3" xfId="9931" xr:uid="{00522A19-A6D8-45E3-BBD0-322D02FEFC0A}"/>
    <cellStyle name="Normal 4 3 2 3" xfId="337" xr:uid="{00000000-0005-0000-0000-000075010000}"/>
    <cellStyle name="Normal 4 3 2 3 2" xfId="809" xr:uid="{00000000-0005-0000-0000-000050030000}"/>
    <cellStyle name="Normal 4 3 2 3 2 2" xfId="10402" xr:uid="{BE93613F-2F1A-4F55-8586-176D44AE8B7B}"/>
    <cellStyle name="Normal 4 3 2 3 3" xfId="9936" xr:uid="{7FE4D500-FD8B-457E-9369-8F4234F09EC5}"/>
    <cellStyle name="Normal 4 3 2 4" xfId="804" xr:uid="{00000000-0005-0000-0000-00004B030000}"/>
    <cellStyle name="Normal 4 3 2 4 2" xfId="10397" xr:uid="{5636EFB7-157F-4EB1-8263-102B1B35146C}"/>
    <cellStyle name="Normal 4 3 2 5" xfId="9930" xr:uid="{834B4285-B9E8-46D3-942A-C6A0740F1049}"/>
    <cellStyle name="Normal 4 3 3" xfId="338" xr:uid="{00000000-0005-0000-0000-000076010000}"/>
    <cellStyle name="Normal 4 3 3 10" xfId="8782" xr:uid="{00000000-0005-0000-0000-000075220000}"/>
    <cellStyle name="Normal 4 3 3 11" xfId="9937" xr:uid="{517525FE-38BC-4CAF-8DF7-1D4D919540E9}"/>
    <cellStyle name="Normal 4 3 3 2" xfId="339" xr:uid="{00000000-0005-0000-0000-000077010000}"/>
    <cellStyle name="Normal 4 3 3 2 10" xfId="9938" xr:uid="{17632F82-1D52-4399-948E-4D5E50B831F9}"/>
    <cellStyle name="Normal 4 3 3 2 2" xfId="340" xr:uid="{00000000-0005-0000-0000-000078010000}"/>
    <cellStyle name="Normal 4 3 3 2 2 2" xfId="812" xr:uid="{00000000-0005-0000-0000-000053030000}"/>
    <cellStyle name="Normal 4 3 3 2 2 2 2" xfId="3047" xr:uid="{00000000-0005-0000-0000-00000E0C0000}"/>
    <cellStyle name="Normal 4 3 3 2 2 2 2 2" xfId="7269" xr:uid="{00000000-0005-0000-0000-00008C1C0000}"/>
    <cellStyle name="Normal 4 3 3 2 2 2 2 2 2" xfId="16860" xr:uid="{53369E35-A10C-415C-B139-5E83D5C92E68}"/>
    <cellStyle name="Normal 4 3 3 2 2 2 2 3" xfId="12639" xr:uid="{CC57E73B-1CD8-4305-9C02-936E2B80215F}"/>
    <cellStyle name="Normal 4 3 3 2 2 2 3" xfId="5124" xr:uid="{00000000-0005-0000-0000-00002B140000}"/>
    <cellStyle name="Normal 4 3 3 2 2 2 3 2" xfId="14715" xr:uid="{42F50FFA-D776-492E-B613-55782CBCC863}"/>
    <cellStyle name="Normal 4 3 3 2 2 2 4" xfId="9517" xr:uid="{00000000-0005-0000-0000-000054250000}"/>
    <cellStyle name="Normal 4 3 3 2 2 2 5" xfId="10405" xr:uid="{0927547B-7BA9-4A47-AA54-BC0E1C0D8B89}"/>
    <cellStyle name="Normal 4 3 3 2 2 3" xfId="1230" xr:uid="{00000000-0005-0000-0000-0000F5040000}"/>
    <cellStyle name="Normal 4 3 3 2 2 3 2" xfId="3460" xr:uid="{00000000-0005-0000-0000-0000AB0D0000}"/>
    <cellStyle name="Normal 4 3 3 2 2 3 2 2" xfId="7682" xr:uid="{00000000-0005-0000-0000-0000291E0000}"/>
    <cellStyle name="Normal 4 3 3 2 2 3 2 2 2" xfId="17273" xr:uid="{00E9C4D8-956D-496C-8897-66006601B041}"/>
    <cellStyle name="Normal 4 3 3 2 2 3 2 3" xfId="13052" xr:uid="{25C290BD-FC11-4851-9D09-BB854E2BA9F2}"/>
    <cellStyle name="Normal 4 3 3 2 2 3 3" xfId="5537" xr:uid="{00000000-0005-0000-0000-0000C8150000}"/>
    <cellStyle name="Normal 4 3 3 2 2 3 3 2" xfId="15128" xr:uid="{BA36A9F4-A087-4AC9-9D1E-06BD95B94EFB}"/>
    <cellStyle name="Normal 4 3 3 2 2 3 4" xfId="10823" xr:uid="{2666E3B5-7D93-4E88-BFB1-0580519829DB}"/>
    <cellStyle name="Normal 4 3 3 2 2 4" xfId="1643" xr:uid="{00000000-0005-0000-0000-000092060000}"/>
    <cellStyle name="Normal 4 3 3 2 2 4 2" xfId="3873" xr:uid="{00000000-0005-0000-0000-0000480F0000}"/>
    <cellStyle name="Normal 4 3 3 2 2 4 2 2" xfId="8095" xr:uid="{00000000-0005-0000-0000-0000C61F0000}"/>
    <cellStyle name="Normal 4 3 3 2 2 4 2 2 2" xfId="17686" xr:uid="{0AB28042-A2BC-440D-97C5-025D819DE9CC}"/>
    <cellStyle name="Normal 4 3 3 2 2 4 2 3" xfId="13465" xr:uid="{6C6FB185-5D9A-4176-88E7-24F851FA946F}"/>
    <cellStyle name="Normal 4 3 3 2 2 4 3" xfId="5950" xr:uid="{00000000-0005-0000-0000-000065170000}"/>
    <cellStyle name="Normal 4 3 3 2 2 4 3 2" xfId="15541" xr:uid="{E65ACE6D-8076-40A5-9A75-12E2132272FC}"/>
    <cellStyle name="Normal 4 3 3 2 2 4 4" xfId="11236" xr:uid="{A52AF300-BD7E-452C-B1C3-92821DBBB6BD}"/>
    <cellStyle name="Normal 4 3 3 2 2 5" xfId="2057" xr:uid="{00000000-0005-0000-0000-000030080000}"/>
    <cellStyle name="Normal 4 3 3 2 2 5 2" xfId="4286" xr:uid="{00000000-0005-0000-0000-0000E5100000}"/>
    <cellStyle name="Normal 4 3 3 2 2 5 2 2" xfId="8508" xr:uid="{00000000-0005-0000-0000-000063210000}"/>
    <cellStyle name="Normal 4 3 3 2 2 5 2 2 2" xfId="18099" xr:uid="{91F9FC1F-448C-4D5F-A25E-EFB448B8DB57}"/>
    <cellStyle name="Normal 4 3 3 2 2 5 2 3" xfId="13878" xr:uid="{0DDDFA8C-06D3-497E-A933-57D959C42292}"/>
    <cellStyle name="Normal 4 3 3 2 2 5 3" xfId="6363" xr:uid="{00000000-0005-0000-0000-000002190000}"/>
    <cellStyle name="Normal 4 3 3 2 2 5 3 2" xfId="15954" xr:uid="{105E6C4C-1AB1-46D5-B3FF-E136778C7754}"/>
    <cellStyle name="Normal 4 3 3 2 2 5 4" xfId="11649" xr:uid="{FA956961-BB6F-476F-9276-98C7DDF8E161}"/>
    <cellStyle name="Normal 4 3 3 2 2 6" xfId="2493" xr:uid="{00000000-0005-0000-0000-0000E4090000}"/>
    <cellStyle name="Normal 4 3 3 2 2 6 2" xfId="6776" xr:uid="{00000000-0005-0000-0000-00009F1A0000}"/>
    <cellStyle name="Normal 4 3 3 2 2 6 2 2" xfId="16367" xr:uid="{14E97C6D-F807-4245-9DA8-F281ACAA9637}"/>
    <cellStyle name="Normal 4 3 3 2 2 6 3" xfId="12085" xr:uid="{98FDA63E-E6B5-4026-96F4-4ACEEFA46DE7}"/>
    <cellStyle name="Normal 4 3 3 2 2 7" xfId="4711" xr:uid="{00000000-0005-0000-0000-00008E120000}"/>
    <cellStyle name="Normal 4 3 3 2 2 7 2" xfId="14302" xr:uid="{A6E0C66C-8811-4889-A6AB-693AEB389C27}"/>
    <cellStyle name="Normal 4 3 3 2 2 8" xfId="9092" xr:uid="{00000000-0005-0000-0000-0000AB230000}"/>
    <cellStyle name="Normal 4 3 3 2 2 9" xfId="9939" xr:uid="{4B302008-4364-46F5-81A8-8566DF9DFB2C}"/>
    <cellStyle name="Normal 4 3 3 2 3" xfId="811" xr:uid="{00000000-0005-0000-0000-000052030000}"/>
    <cellStyle name="Normal 4 3 3 2 3 2" xfId="3046" xr:uid="{00000000-0005-0000-0000-00000D0C0000}"/>
    <cellStyle name="Normal 4 3 3 2 3 2 2" xfId="7268" xr:uid="{00000000-0005-0000-0000-00008B1C0000}"/>
    <cellStyle name="Normal 4 3 3 2 3 2 2 2" xfId="16859" xr:uid="{672EF3B8-19A1-497C-9545-4D719485C4C8}"/>
    <cellStyle name="Normal 4 3 3 2 3 2 3" xfId="12638" xr:uid="{E0363CFD-FE5C-4545-BD59-53C0DB8BAA86}"/>
    <cellStyle name="Normal 4 3 3 2 3 3" xfId="5123" xr:uid="{00000000-0005-0000-0000-00002A140000}"/>
    <cellStyle name="Normal 4 3 3 2 3 3 2" xfId="14714" xr:uid="{43C2C225-2896-4A8F-8847-7F10081B9841}"/>
    <cellStyle name="Normal 4 3 3 2 3 4" xfId="9310" xr:uid="{00000000-0005-0000-0000-000085240000}"/>
    <cellStyle name="Normal 4 3 3 2 3 5" xfId="10404" xr:uid="{3C5ACCE1-0835-444B-8EFD-B7644FAB09D1}"/>
    <cellStyle name="Normal 4 3 3 2 4" xfId="1229" xr:uid="{00000000-0005-0000-0000-0000F4040000}"/>
    <cellStyle name="Normal 4 3 3 2 4 2" xfId="3459" xr:uid="{00000000-0005-0000-0000-0000AA0D0000}"/>
    <cellStyle name="Normal 4 3 3 2 4 2 2" xfId="7681" xr:uid="{00000000-0005-0000-0000-0000281E0000}"/>
    <cellStyle name="Normal 4 3 3 2 4 2 2 2" xfId="17272" xr:uid="{943112C0-6C95-497F-AC0B-83B5F981C7AE}"/>
    <cellStyle name="Normal 4 3 3 2 4 2 3" xfId="13051" xr:uid="{8B216306-A6CB-427F-A85E-490E1CE8A0B6}"/>
    <cellStyle name="Normal 4 3 3 2 4 3" xfId="5536" xr:uid="{00000000-0005-0000-0000-0000C7150000}"/>
    <cellStyle name="Normal 4 3 3 2 4 3 2" xfId="15127" xr:uid="{0951CCEB-6F4A-4B05-A490-3D2017D62D21}"/>
    <cellStyle name="Normal 4 3 3 2 4 4" xfId="10822" xr:uid="{99216799-4706-4746-A5DB-9E6F4EFF1A96}"/>
    <cellStyle name="Normal 4 3 3 2 5" xfId="1642" xr:uid="{00000000-0005-0000-0000-000091060000}"/>
    <cellStyle name="Normal 4 3 3 2 5 2" xfId="3872" xr:uid="{00000000-0005-0000-0000-0000470F0000}"/>
    <cellStyle name="Normal 4 3 3 2 5 2 2" xfId="8094" xr:uid="{00000000-0005-0000-0000-0000C51F0000}"/>
    <cellStyle name="Normal 4 3 3 2 5 2 2 2" xfId="17685" xr:uid="{4548E4F7-3BA4-4330-A060-0287B3B28887}"/>
    <cellStyle name="Normal 4 3 3 2 5 2 3" xfId="13464" xr:uid="{01797C19-9A14-43D5-A0C1-43BEB88CE8F9}"/>
    <cellStyle name="Normal 4 3 3 2 5 3" xfId="5949" xr:uid="{00000000-0005-0000-0000-000064170000}"/>
    <cellStyle name="Normal 4 3 3 2 5 3 2" xfId="15540" xr:uid="{3859E90C-2C69-48E3-BB2D-48B5655A2C45}"/>
    <cellStyle name="Normal 4 3 3 2 5 4" xfId="11235" xr:uid="{9D4C034F-1087-4C6B-AC5D-9E670581793A}"/>
    <cellStyle name="Normal 4 3 3 2 6" xfId="2056" xr:uid="{00000000-0005-0000-0000-00002F080000}"/>
    <cellStyle name="Normal 4 3 3 2 6 2" xfId="4285" xr:uid="{00000000-0005-0000-0000-0000E4100000}"/>
    <cellStyle name="Normal 4 3 3 2 6 2 2" xfId="8507" xr:uid="{00000000-0005-0000-0000-000062210000}"/>
    <cellStyle name="Normal 4 3 3 2 6 2 2 2" xfId="18098" xr:uid="{97C05553-BDDF-4BCB-BC2A-757908B4AC90}"/>
    <cellStyle name="Normal 4 3 3 2 6 2 3" xfId="13877" xr:uid="{BF9C671C-17C3-4E5C-9754-2B9C1D4FBC0A}"/>
    <cellStyle name="Normal 4 3 3 2 6 3" xfId="6362" xr:uid="{00000000-0005-0000-0000-000001190000}"/>
    <cellStyle name="Normal 4 3 3 2 6 3 2" xfId="15953" xr:uid="{0482667A-36A3-4B17-B5E0-52F8CC94274B}"/>
    <cellStyle name="Normal 4 3 3 2 6 4" xfId="11648" xr:uid="{967A85A0-6BF2-45AD-89F4-6E4DC7B5693C}"/>
    <cellStyle name="Normal 4 3 3 2 7" xfId="2492" xr:uid="{00000000-0005-0000-0000-0000E3090000}"/>
    <cellStyle name="Normal 4 3 3 2 7 2" xfId="6775" xr:uid="{00000000-0005-0000-0000-00009E1A0000}"/>
    <cellStyle name="Normal 4 3 3 2 7 2 2" xfId="16366" xr:uid="{FD71E173-18C4-4AB2-BD75-B51FD71C1A8C}"/>
    <cellStyle name="Normal 4 3 3 2 7 3" xfId="12084" xr:uid="{5C62B7C5-38EF-4DB1-A874-EED053CB75D7}"/>
    <cellStyle name="Normal 4 3 3 2 8" xfId="4710" xr:uid="{00000000-0005-0000-0000-00008D120000}"/>
    <cellStyle name="Normal 4 3 3 2 8 2" xfId="14301" xr:uid="{FB9ED7B1-719B-444A-AA80-C80A8531B1EC}"/>
    <cellStyle name="Normal 4 3 3 2 9" xfId="8885" xr:uid="{00000000-0005-0000-0000-0000DC220000}"/>
    <cellStyle name="Normal 4 3 3 3" xfId="341" xr:uid="{00000000-0005-0000-0000-000079010000}"/>
    <cellStyle name="Normal 4 3 3 3 2" xfId="813" xr:uid="{00000000-0005-0000-0000-000054030000}"/>
    <cellStyle name="Normal 4 3 3 3 2 2" xfId="3048" xr:uid="{00000000-0005-0000-0000-00000F0C0000}"/>
    <cellStyle name="Normal 4 3 3 3 2 2 2" xfId="7270" xr:uid="{00000000-0005-0000-0000-00008D1C0000}"/>
    <cellStyle name="Normal 4 3 3 3 2 2 2 2" xfId="16861" xr:uid="{F602C3C6-F2A5-4947-8BB8-5A6725122AA5}"/>
    <cellStyle name="Normal 4 3 3 3 2 2 3" xfId="12640" xr:uid="{E4419ABB-12D9-4B90-8E82-4610C79DC882}"/>
    <cellStyle name="Normal 4 3 3 3 2 3" xfId="5125" xr:uid="{00000000-0005-0000-0000-00002C140000}"/>
    <cellStyle name="Normal 4 3 3 3 2 3 2" xfId="14716" xr:uid="{E6580BE1-2F0E-4451-ADD2-64C4486EA7B0}"/>
    <cellStyle name="Normal 4 3 3 3 2 4" xfId="9414" xr:uid="{00000000-0005-0000-0000-0000ED240000}"/>
    <cellStyle name="Normal 4 3 3 3 2 5" xfId="10406" xr:uid="{CDDE2614-333D-4082-BB6A-8701F5A92C2F}"/>
    <cellStyle name="Normal 4 3 3 3 3" xfId="1231" xr:uid="{00000000-0005-0000-0000-0000F6040000}"/>
    <cellStyle name="Normal 4 3 3 3 3 2" xfId="3461" xr:uid="{00000000-0005-0000-0000-0000AC0D0000}"/>
    <cellStyle name="Normal 4 3 3 3 3 2 2" xfId="7683" xr:uid="{00000000-0005-0000-0000-00002A1E0000}"/>
    <cellStyle name="Normal 4 3 3 3 3 2 2 2" xfId="17274" xr:uid="{332E8288-60C4-46E7-BEA4-64461C1B2A3F}"/>
    <cellStyle name="Normal 4 3 3 3 3 2 3" xfId="13053" xr:uid="{7D02BAC9-FBA2-435B-8EA3-838DA43EDAB2}"/>
    <cellStyle name="Normal 4 3 3 3 3 3" xfId="5538" xr:uid="{00000000-0005-0000-0000-0000C9150000}"/>
    <cellStyle name="Normal 4 3 3 3 3 3 2" xfId="15129" xr:uid="{25647BEF-548C-4CB6-961C-4991634F77F6}"/>
    <cellStyle name="Normal 4 3 3 3 3 4" xfId="10824" xr:uid="{6D386A1F-0D3F-4C0C-818A-E321A7544B13}"/>
    <cellStyle name="Normal 4 3 3 3 4" xfId="1644" xr:uid="{00000000-0005-0000-0000-000093060000}"/>
    <cellStyle name="Normal 4 3 3 3 4 2" xfId="3874" xr:uid="{00000000-0005-0000-0000-0000490F0000}"/>
    <cellStyle name="Normal 4 3 3 3 4 2 2" xfId="8096" xr:uid="{00000000-0005-0000-0000-0000C71F0000}"/>
    <cellStyle name="Normal 4 3 3 3 4 2 2 2" xfId="17687" xr:uid="{E6BB6866-79F5-4203-98F3-DB3A6A335457}"/>
    <cellStyle name="Normal 4 3 3 3 4 2 3" xfId="13466" xr:uid="{B147246E-E4DE-4AC5-B972-C5F9978BE052}"/>
    <cellStyle name="Normal 4 3 3 3 4 3" xfId="5951" xr:uid="{00000000-0005-0000-0000-000066170000}"/>
    <cellStyle name="Normal 4 3 3 3 4 3 2" xfId="15542" xr:uid="{D38FC77E-B0A7-4900-B074-6E4A1FA2BB76}"/>
    <cellStyle name="Normal 4 3 3 3 4 4" xfId="11237" xr:uid="{DAB799B8-594D-4EE1-A73F-C824B8D54528}"/>
    <cellStyle name="Normal 4 3 3 3 5" xfId="2058" xr:uid="{00000000-0005-0000-0000-000031080000}"/>
    <cellStyle name="Normal 4 3 3 3 5 2" xfId="4287" xr:uid="{00000000-0005-0000-0000-0000E6100000}"/>
    <cellStyle name="Normal 4 3 3 3 5 2 2" xfId="8509" xr:uid="{00000000-0005-0000-0000-000064210000}"/>
    <cellStyle name="Normal 4 3 3 3 5 2 2 2" xfId="18100" xr:uid="{DF58A5FF-0923-4EEC-B650-36EE76C42AA7}"/>
    <cellStyle name="Normal 4 3 3 3 5 2 3" xfId="13879" xr:uid="{3B4EB367-4D45-406E-ADE8-6CBB1DB8BE02}"/>
    <cellStyle name="Normal 4 3 3 3 5 3" xfId="6364" xr:uid="{00000000-0005-0000-0000-000003190000}"/>
    <cellStyle name="Normal 4 3 3 3 5 3 2" xfId="15955" xr:uid="{9069C053-69B3-4118-A884-9F861058D7E6}"/>
    <cellStyle name="Normal 4 3 3 3 5 4" xfId="11650" xr:uid="{4ADF5F34-2EF4-4BD0-997B-F452C369CA22}"/>
    <cellStyle name="Normal 4 3 3 3 6" xfId="2494" xr:uid="{00000000-0005-0000-0000-0000E5090000}"/>
    <cellStyle name="Normal 4 3 3 3 6 2" xfId="6777" xr:uid="{00000000-0005-0000-0000-0000A01A0000}"/>
    <cellStyle name="Normal 4 3 3 3 6 2 2" xfId="16368" xr:uid="{78E3C512-0DE2-4AC8-9F77-02BD36EAEEAB}"/>
    <cellStyle name="Normal 4 3 3 3 6 3" xfId="12086" xr:uid="{E663CC07-B306-4C5A-9E2E-264669A6B5FB}"/>
    <cellStyle name="Normal 4 3 3 3 7" xfId="4712" xr:uid="{00000000-0005-0000-0000-00008F120000}"/>
    <cellStyle name="Normal 4 3 3 3 7 2" xfId="14303" xr:uid="{B9DF7405-07CD-4F5A-9357-3EAB575875C9}"/>
    <cellStyle name="Normal 4 3 3 3 8" xfId="8989" xr:uid="{00000000-0005-0000-0000-000044230000}"/>
    <cellStyle name="Normal 4 3 3 3 9" xfId="9940" xr:uid="{E6B5D1F9-3007-4EEA-A699-5FB8D3B0ED78}"/>
    <cellStyle name="Normal 4 3 3 4" xfId="810" xr:uid="{00000000-0005-0000-0000-000051030000}"/>
    <cellStyle name="Normal 4 3 3 4 2" xfId="3045" xr:uid="{00000000-0005-0000-0000-00000C0C0000}"/>
    <cellStyle name="Normal 4 3 3 4 2 2" xfId="7267" xr:uid="{00000000-0005-0000-0000-00008A1C0000}"/>
    <cellStyle name="Normal 4 3 3 4 2 2 2" xfId="16858" xr:uid="{1C1FD1DD-8A82-4265-A849-04D67EE029EE}"/>
    <cellStyle name="Normal 4 3 3 4 2 3" xfId="12637" xr:uid="{B7A5163F-0C49-4E59-AEA6-844DCC2E9008}"/>
    <cellStyle name="Normal 4 3 3 4 3" xfId="5122" xr:uid="{00000000-0005-0000-0000-000029140000}"/>
    <cellStyle name="Normal 4 3 3 4 3 2" xfId="14713" xr:uid="{3341CA7A-337A-462B-99BF-F4EB22C599B2}"/>
    <cellStyle name="Normal 4 3 3 4 4" xfId="9207" xr:uid="{00000000-0005-0000-0000-00001E240000}"/>
    <cellStyle name="Normal 4 3 3 4 5" xfId="10403" xr:uid="{D01EAE26-9F07-42FD-A212-5BFC58C85459}"/>
    <cellStyle name="Normal 4 3 3 5" xfId="1228" xr:uid="{00000000-0005-0000-0000-0000F3040000}"/>
    <cellStyle name="Normal 4 3 3 5 2" xfId="3458" xr:uid="{00000000-0005-0000-0000-0000A90D0000}"/>
    <cellStyle name="Normal 4 3 3 5 2 2" xfId="7680" xr:uid="{00000000-0005-0000-0000-0000271E0000}"/>
    <cellStyle name="Normal 4 3 3 5 2 2 2" xfId="17271" xr:uid="{22480983-3EB0-4333-8410-313D4FCDA8A3}"/>
    <cellStyle name="Normal 4 3 3 5 2 3" xfId="13050" xr:uid="{C1AC11D2-BE79-461F-AB49-C0387B71B155}"/>
    <cellStyle name="Normal 4 3 3 5 3" xfId="5535" xr:uid="{00000000-0005-0000-0000-0000C6150000}"/>
    <cellStyle name="Normal 4 3 3 5 3 2" xfId="15126" xr:uid="{0EBB7ABB-3D38-4B1A-940A-B2BB418E93FF}"/>
    <cellStyle name="Normal 4 3 3 5 4" xfId="10821" xr:uid="{C1C41580-DD19-48A2-A0F3-6A02645BDA02}"/>
    <cellStyle name="Normal 4 3 3 6" xfId="1641" xr:uid="{00000000-0005-0000-0000-000090060000}"/>
    <cellStyle name="Normal 4 3 3 6 2" xfId="3871" xr:uid="{00000000-0005-0000-0000-0000460F0000}"/>
    <cellStyle name="Normal 4 3 3 6 2 2" xfId="8093" xr:uid="{00000000-0005-0000-0000-0000C41F0000}"/>
    <cellStyle name="Normal 4 3 3 6 2 2 2" xfId="17684" xr:uid="{F57471CF-3128-424C-85C6-1568E52671FE}"/>
    <cellStyle name="Normal 4 3 3 6 2 3" xfId="13463" xr:uid="{F229CF8B-9AD0-43CF-9582-6A78DE63C14D}"/>
    <cellStyle name="Normal 4 3 3 6 3" xfId="5948" xr:uid="{00000000-0005-0000-0000-000063170000}"/>
    <cellStyle name="Normal 4 3 3 6 3 2" xfId="15539" xr:uid="{8C15B617-E0B1-4158-B0CB-167CBA1EFDC4}"/>
    <cellStyle name="Normal 4 3 3 6 4" xfId="11234" xr:uid="{FC1D5B7B-593E-40F4-9823-F15878C49605}"/>
    <cellStyle name="Normal 4 3 3 7" xfId="2055" xr:uid="{00000000-0005-0000-0000-00002E080000}"/>
    <cellStyle name="Normal 4 3 3 7 2" xfId="4284" xr:uid="{00000000-0005-0000-0000-0000E3100000}"/>
    <cellStyle name="Normal 4 3 3 7 2 2" xfId="8506" xr:uid="{00000000-0005-0000-0000-000061210000}"/>
    <cellStyle name="Normal 4 3 3 7 2 2 2" xfId="18097" xr:uid="{3C059B85-6585-41B9-8DDA-3EB7733E7884}"/>
    <cellStyle name="Normal 4 3 3 7 2 3" xfId="13876" xr:uid="{40CF31AE-6D14-4FE1-B152-E82C977526FE}"/>
    <cellStyle name="Normal 4 3 3 7 3" xfId="6361" xr:uid="{00000000-0005-0000-0000-000000190000}"/>
    <cellStyle name="Normal 4 3 3 7 3 2" xfId="15952" xr:uid="{9000ACC1-C246-47D8-BD70-84BB6B2DA196}"/>
    <cellStyle name="Normal 4 3 3 7 4" xfId="11647" xr:uid="{5BB8331B-4256-476A-8131-693B08AA96AE}"/>
    <cellStyle name="Normal 4 3 3 8" xfId="2491" xr:uid="{00000000-0005-0000-0000-0000E2090000}"/>
    <cellStyle name="Normal 4 3 3 8 2" xfId="6774" xr:uid="{00000000-0005-0000-0000-00009D1A0000}"/>
    <cellStyle name="Normal 4 3 3 8 2 2" xfId="16365" xr:uid="{151C6C23-170A-414D-AFA3-890BDF1D8FD9}"/>
    <cellStyle name="Normal 4 3 3 8 3" xfId="12083" xr:uid="{9E399597-0A3F-461B-BAF3-B1F8D5A3998B}"/>
    <cellStyle name="Normal 4 3 3 9" xfId="4709" xr:uid="{00000000-0005-0000-0000-00008C120000}"/>
    <cellStyle name="Normal 4 3 3 9 2" xfId="14300" xr:uid="{2E10B226-E9A0-4ED6-8D5F-E59AE86E1035}"/>
    <cellStyle name="Normal 4 3 4" xfId="803" xr:uid="{00000000-0005-0000-0000-00004A030000}"/>
    <cellStyle name="Normal 4 3 4 2" xfId="3040" xr:uid="{00000000-0005-0000-0000-0000070C0000}"/>
    <cellStyle name="Normal 4 3 4 2 2" xfId="7262" xr:uid="{00000000-0005-0000-0000-0000851C0000}"/>
    <cellStyle name="Normal 4 3 4 2 2 2" xfId="16853" xr:uid="{81A389AE-3657-458B-8848-3B0D7EA4CA5D}"/>
    <cellStyle name="Normal 4 3 4 2 3" xfId="12632" xr:uid="{EF81A8BB-89E7-438D-A638-75985EC84E96}"/>
    <cellStyle name="Normal 4 3 4 3" xfId="5117" xr:uid="{00000000-0005-0000-0000-000024140000}"/>
    <cellStyle name="Normal 4 3 4 3 2" xfId="14708" xr:uid="{7FD328F4-176E-4BD2-942A-2A82296DEF16}"/>
    <cellStyle name="Normal 4 3 4 4" xfId="9569" xr:uid="{00000000-0005-0000-0000-000088250000}"/>
    <cellStyle name="Normal 4 3 4 5" xfId="10396" xr:uid="{2FACF0CE-00D9-45EF-B91D-872C20564BDA}"/>
    <cellStyle name="Normal 4 3 5" xfId="1223" xr:uid="{00000000-0005-0000-0000-0000EE040000}"/>
    <cellStyle name="Normal 4 3 5 2" xfId="3453" xr:uid="{00000000-0005-0000-0000-0000A40D0000}"/>
    <cellStyle name="Normal 4 3 5 2 2" xfId="7675" xr:uid="{00000000-0005-0000-0000-0000221E0000}"/>
    <cellStyle name="Normal 4 3 5 2 2 2" xfId="17266" xr:uid="{CA54076F-0E0F-4E03-973F-20F4CD76906A}"/>
    <cellStyle name="Normal 4 3 5 2 3" xfId="13045" xr:uid="{4FC28315-8211-4C43-B545-DE9AFE8FD1B9}"/>
    <cellStyle name="Normal 4 3 5 3" xfId="5530" xr:uid="{00000000-0005-0000-0000-0000C1150000}"/>
    <cellStyle name="Normal 4 3 5 3 2" xfId="15121" xr:uid="{119B33F2-3E71-4FD4-B4DE-BA31D327D471}"/>
    <cellStyle name="Normal 4 3 5 4" xfId="10816" xr:uid="{7ECC7ADB-25D8-4BC6-97EE-00FFA53DF72E}"/>
    <cellStyle name="Normal 4 3 6" xfId="1636" xr:uid="{00000000-0005-0000-0000-00008B060000}"/>
    <cellStyle name="Normal 4 3 6 2" xfId="3866" xr:uid="{00000000-0005-0000-0000-0000410F0000}"/>
    <cellStyle name="Normal 4 3 6 2 2" xfId="8088" xr:uid="{00000000-0005-0000-0000-0000BF1F0000}"/>
    <cellStyle name="Normal 4 3 6 2 2 2" xfId="17679" xr:uid="{EA261CED-307A-4EC7-A368-91CC2E7BFD7F}"/>
    <cellStyle name="Normal 4 3 6 2 3" xfId="13458" xr:uid="{C8AA38EE-7519-4696-8875-2B7911AAFFFB}"/>
    <cellStyle name="Normal 4 3 6 3" xfId="5943" xr:uid="{00000000-0005-0000-0000-00005E170000}"/>
    <cellStyle name="Normal 4 3 6 3 2" xfId="15534" xr:uid="{228418A6-CCF8-4C7C-A3EA-F498AF5B2308}"/>
    <cellStyle name="Normal 4 3 6 4" xfId="11229" xr:uid="{45E9930C-8024-4F71-96D0-23E467EB49F6}"/>
    <cellStyle name="Normal 4 3 7" xfId="2050" xr:uid="{00000000-0005-0000-0000-000029080000}"/>
    <cellStyle name="Normal 4 3 7 2" xfId="4279" xr:uid="{00000000-0005-0000-0000-0000DE100000}"/>
    <cellStyle name="Normal 4 3 7 2 2" xfId="8501" xr:uid="{00000000-0005-0000-0000-00005C210000}"/>
    <cellStyle name="Normal 4 3 7 2 2 2" xfId="18092" xr:uid="{5B241127-580B-4AA7-BF28-D1737F4D1901}"/>
    <cellStyle name="Normal 4 3 7 2 3" xfId="13871" xr:uid="{B09FD753-DAA8-43F2-B893-151620BDE995}"/>
    <cellStyle name="Normal 4 3 7 3" xfId="6356" xr:uid="{00000000-0005-0000-0000-0000FB180000}"/>
    <cellStyle name="Normal 4 3 7 3 2" xfId="15947" xr:uid="{FFD3A833-B42D-48A3-976B-27ED40C03B45}"/>
    <cellStyle name="Normal 4 3 7 4" xfId="11642" xr:uid="{B929B8F7-8E6C-4345-B998-8ECD8CA41CFE}"/>
    <cellStyle name="Normal 4 3 8" xfId="2486" xr:uid="{00000000-0005-0000-0000-0000DD090000}"/>
    <cellStyle name="Normal 4 3 8 2" xfId="6769" xr:uid="{00000000-0005-0000-0000-0000981A0000}"/>
    <cellStyle name="Normal 4 3 8 2 2" xfId="16360" xr:uid="{DC2DCEB9-474F-4892-BEC0-B56BA1C23E0E}"/>
    <cellStyle name="Normal 4 3 8 3" xfId="12078" xr:uid="{DE346E86-D620-4400-BA4F-9131D7B06BCD}"/>
    <cellStyle name="Normal 4 3 9" xfId="4704" xr:uid="{00000000-0005-0000-0000-000087120000}"/>
    <cellStyle name="Normal 4 3 9 2" xfId="14295" xr:uid="{7D60D326-4A94-4803-99A1-F2DA67CD0551}"/>
    <cellStyle name="Normal 4 4" xfId="342" xr:uid="{00000000-0005-0000-0000-00007A010000}"/>
    <cellStyle name="Normal 4 4 10" xfId="2495" xr:uid="{00000000-0005-0000-0000-0000E6090000}"/>
    <cellStyle name="Normal 4 4 10 2" xfId="6778" xr:uid="{00000000-0005-0000-0000-0000A11A0000}"/>
    <cellStyle name="Normal 4 4 10 2 2" xfId="16369" xr:uid="{252E1120-D2CF-463E-8CD9-D724BDB6FC78}"/>
    <cellStyle name="Normal 4 4 10 3" xfId="12087" xr:uid="{4EE45D0E-6CCB-42BA-B040-7D6583C7B818}"/>
    <cellStyle name="Normal 4 4 11" xfId="4713" xr:uid="{00000000-0005-0000-0000-000090120000}"/>
    <cellStyle name="Normal 4 4 11 2" xfId="14304" xr:uid="{8766178B-4FA3-45F5-9554-B6766BC0C3B7}"/>
    <cellStyle name="Normal 4 4 12" xfId="8710" xr:uid="{00000000-0005-0000-0000-00002D220000}"/>
    <cellStyle name="Normal 4 4 13" xfId="9941" xr:uid="{F2B6B38B-3A39-495C-8AAD-A106419708BD}"/>
    <cellStyle name="Normal 4 4 2" xfId="343" xr:uid="{00000000-0005-0000-0000-00007B010000}"/>
    <cellStyle name="Normal 4 4 2 10" xfId="4714" xr:uid="{00000000-0005-0000-0000-000091120000}"/>
    <cellStyle name="Normal 4 4 2 10 2" xfId="14305" xr:uid="{23020D18-7F8A-41F7-8A01-B3A81AE4B202}"/>
    <cellStyle name="Normal 4 4 2 11" xfId="8742" xr:uid="{00000000-0005-0000-0000-00004D220000}"/>
    <cellStyle name="Normal 4 4 2 12" xfId="9942" xr:uid="{F6838947-875C-4C17-8EDB-B80C93949662}"/>
    <cellStyle name="Normal 4 4 2 2" xfId="344" xr:uid="{00000000-0005-0000-0000-00007C010000}"/>
    <cellStyle name="Normal 4 4 2 2 10" xfId="8785" xr:uid="{00000000-0005-0000-0000-000078220000}"/>
    <cellStyle name="Normal 4 4 2 2 11" xfId="9943" xr:uid="{41E6BEDE-33D0-4DF6-90F9-8A3700ED3F59}"/>
    <cellStyle name="Normal 4 4 2 2 2" xfId="345" xr:uid="{00000000-0005-0000-0000-00007D010000}"/>
    <cellStyle name="Normal 4 4 2 2 2 10" xfId="9944" xr:uid="{6B091439-AAAE-4525-94D3-C6E494A15976}"/>
    <cellStyle name="Normal 4 4 2 2 2 2" xfId="346" xr:uid="{00000000-0005-0000-0000-00007E010000}"/>
    <cellStyle name="Normal 4 4 2 2 2 2 2" xfId="818" xr:uid="{00000000-0005-0000-0000-000059030000}"/>
    <cellStyle name="Normal 4 4 2 2 2 2 2 2" xfId="3053" xr:uid="{00000000-0005-0000-0000-0000140C0000}"/>
    <cellStyle name="Normal 4 4 2 2 2 2 2 2 2" xfId="7275" xr:uid="{00000000-0005-0000-0000-0000921C0000}"/>
    <cellStyle name="Normal 4 4 2 2 2 2 2 2 2 2" xfId="16866" xr:uid="{9D325DAE-1C2F-4228-AC58-3598E7335E42}"/>
    <cellStyle name="Normal 4 4 2 2 2 2 2 2 3" xfId="12645" xr:uid="{E83D6DC6-92FD-4FD0-A58D-61356DE0BE7F}"/>
    <cellStyle name="Normal 4 4 2 2 2 2 2 3" xfId="5130" xr:uid="{00000000-0005-0000-0000-000031140000}"/>
    <cellStyle name="Normal 4 4 2 2 2 2 2 3 2" xfId="14721" xr:uid="{7F2FF182-2F05-4CC9-AA3D-92394ACFAEFE}"/>
    <cellStyle name="Normal 4 4 2 2 2 2 2 4" xfId="9520" xr:uid="{00000000-0005-0000-0000-000057250000}"/>
    <cellStyle name="Normal 4 4 2 2 2 2 2 5" xfId="10411" xr:uid="{191014F2-D334-429C-A199-4A5EFFD2864E}"/>
    <cellStyle name="Normal 4 4 2 2 2 2 3" xfId="1236" xr:uid="{00000000-0005-0000-0000-0000FB040000}"/>
    <cellStyle name="Normal 4 4 2 2 2 2 3 2" xfId="3466" xr:uid="{00000000-0005-0000-0000-0000B10D0000}"/>
    <cellStyle name="Normal 4 4 2 2 2 2 3 2 2" xfId="7688" xr:uid="{00000000-0005-0000-0000-00002F1E0000}"/>
    <cellStyle name="Normal 4 4 2 2 2 2 3 2 2 2" xfId="17279" xr:uid="{AFB0AC69-A89E-4664-9DBC-09A2D9DED4D0}"/>
    <cellStyle name="Normal 4 4 2 2 2 2 3 2 3" xfId="13058" xr:uid="{BDC406A4-2A0D-4A2A-A690-F2A22AE815F7}"/>
    <cellStyle name="Normal 4 4 2 2 2 2 3 3" xfId="5543" xr:uid="{00000000-0005-0000-0000-0000CE150000}"/>
    <cellStyle name="Normal 4 4 2 2 2 2 3 3 2" xfId="15134" xr:uid="{1CAE3248-0FE8-401A-8908-94B4DCD46B21}"/>
    <cellStyle name="Normal 4 4 2 2 2 2 3 4" xfId="10829" xr:uid="{D70FCB32-7C48-452D-AF10-9B8E6679C93A}"/>
    <cellStyle name="Normal 4 4 2 2 2 2 4" xfId="1649" xr:uid="{00000000-0005-0000-0000-000098060000}"/>
    <cellStyle name="Normal 4 4 2 2 2 2 4 2" xfId="3879" xr:uid="{00000000-0005-0000-0000-00004E0F0000}"/>
    <cellStyle name="Normal 4 4 2 2 2 2 4 2 2" xfId="8101" xr:uid="{00000000-0005-0000-0000-0000CC1F0000}"/>
    <cellStyle name="Normal 4 4 2 2 2 2 4 2 2 2" xfId="17692" xr:uid="{428A9BD7-D5C9-4F10-91D5-90C866E40F42}"/>
    <cellStyle name="Normal 4 4 2 2 2 2 4 2 3" xfId="13471" xr:uid="{EA33C247-0A5B-4635-8E82-9A00B08232DA}"/>
    <cellStyle name="Normal 4 4 2 2 2 2 4 3" xfId="5956" xr:uid="{00000000-0005-0000-0000-00006B170000}"/>
    <cellStyle name="Normal 4 4 2 2 2 2 4 3 2" xfId="15547" xr:uid="{448F0D7B-9858-4C7A-849D-11CC1E6AEEB1}"/>
    <cellStyle name="Normal 4 4 2 2 2 2 4 4" xfId="11242" xr:uid="{81002AE7-BD9C-49FC-93EF-7D00612C4482}"/>
    <cellStyle name="Normal 4 4 2 2 2 2 5" xfId="2063" xr:uid="{00000000-0005-0000-0000-000036080000}"/>
    <cellStyle name="Normal 4 4 2 2 2 2 5 2" xfId="4292" xr:uid="{00000000-0005-0000-0000-0000EB100000}"/>
    <cellStyle name="Normal 4 4 2 2 2 2 5 2 2" xfId="8514" xr:uid="{00000000-0005-0000-0000-000069210000}"/>
    <cellStyle name="Normal 4 4 2 2 2 2 5 2 2 2" xfId="18105" xr:uid="{C2F07874-12DC-4C78-8E06-4E390331F811}"/>
    <cellStyle name="Normal 4 4 2 2 2 2 5 2 3" xfId="13884" xr:uid="{2CB06CB8-3229-4769-B317-DF47D86519EA}"/>
    <cellStyle name="Normal 4 4 2 2 2 2 5 3" xfId="6369" xr:uid="{00000000-0005-0000-0000-000008190000}"/>
    <cellStyle name="Normal 4 4 2 2 2 2 5 3 2" xfId="15960" xr:uid="{25425C70-2961-413C-9972-87E595A7CA7B}"/>
    <cellStyle name="Normal 4 4 2 2 2 2 5 4" xfId="11655" xr:uid="{80D39D40-66C7-4DA8-AD1B-EC150986628C}"/>
    <cellStyle name="Normal 4 4 2 2 2 2 6" xfId="2499" xr:uid="{00000000-0005-0000-0000-0000EA090000}"/>
    <cellStyle name="Normal 4 4 2 2 2 2 6 2" xfId="6782" xr:uid="{00000000-0005-0000-0000-0000A51A0000}"/>
    <cellStyle name="Normal 4 4 2 2 2 2 6 2 2" xfId="16373" xr:uid="{E9C50FE8-600C-48EE-9CF5-090BBB007460}"/>
    <cellStyle name="Normal 4 4 2 2 2 2 6 3" xfId="12091" xr:uid="{1D56FD2C-32DC-4C32-9EE0-62E547E50CA2}"/>
    <cellStyle name="Normal 4 4 2 2 2 2 7" xfId="4717" xr:uid="{00000000-0005-0000-0000-000094120000}"/>
    <cellStyle name="Normal 4 4 2 2 2 2 7 2" xfId="14308" xr:uid="{39701D8D-447E-4DC6-8C5D-87548FFD7EFD}"/>
    <cellStyle name="Normal 4 4 2 2 2 2 8" xfId="9095" xr:uid="{00000000-0005-0000-0000-0000AE230000}"/>
    <cellStyle name="Normal 4 4 2 2 2 2 9" xfId="9945" xr:uid="{4CE35B1E-A51D-4123-98B0-CC33F5849EA5}"/>
    <cellStyle name="Normal 4 4 2 2 2 3" xfId="817" xr:uid="{00000000-0005-0000-0000-000058030000}"/>
    <cellStyle name="Normal 4 4 2 2 2 3 2" xfId="3052" xr:uid="{00000000-0005-0000-0000-0000130C0000}"/>
    <cellStyle name="Normal 4 4 2 2 2 3 2 2" xfId="7274" xr:uid="{00000000-0005-0000-0000-0000911C0000}"/>
    <cellStyle name="Normal 4 4 2 2 2 3 2 2 2" xfId="16865" xr:uid="{DD9193A5-8750-45E8-B331-7913B96365F2}"/>
    <cellStyle name="Normal 4 4 2 2 2 3 2 3" xfId="12644" xr:uid="{9AEAE8D8-107F-4BC9-88D1-62614463AD4E}"/>
    <cellStyle name="Normal 4 4 2 2 2 3 3" xfId="5129" xr:uid="{00000000-0005-0000-0000-000030140000}"/>
    <cellStyle name="Normal 4 4 2 2 2 3 3 2" xfId="14720" xr:uid="{0E5E0078-3F82-421D-A38F-5DD67B6F8341}"/>
    <cellStyle name="Normal 4 4 2 2 2 3 4" xfId="9313" xr:uid="{00000000-0005-0000-0000-000088240000}"/>
    <cellStyle name="Normal 4 4 2 2 2 3 5" xfId="10410" xr:uid="{2C9DDC0F-AA5D-42F7-9F37-33F3277E5BC4}"/>
    <cellStyle name="Normal 4 4 2 2 2 4" xfId="1235" xr:uid="{00000000-0005-0000-0000-0000FA040000}"/>
    <cellStyle name="Normal 4 4 2 2 2 4 2" xfId="3465" xr:uid="{00000000-0005-0000-0000-0000B00D0000}"/>
    <cellStyle name="Normal 4 4 2 2 2 4 2 2" xfId="7687" xr:uid="{00000000-0005-0000-0000-00002E1E0000}"/>
    <cellStyle name="Normal 4 4 2 2 2 4 2 2 2" xfId="17278" xr:uid="{F22B7C76-8BB0-4CB1-AC3A-A60EF3C36C17}"/>
    <cellStyle name="Normal 4 4 2 2 2 4 2 3" xfId="13057" xr:uid="{21611CA3-5637-4FD1-B228-79D7E941447F}"/>
    <cellStyle name="Normal 4 4 2 2 2 4 3" xfId="5542" xr:uid="{00000000-0005-0000-0000-0000CD150000}"/>
    <cellStyle name="Normal 4 4 2 2 2 4 3 2" xfId="15133" xr:uid="{AAA33CD8-616A-4002-8B42-2767A73B70AF}"/>
    <cellStyle name="Normal 4 4 2 2 2 4 4" xfId="10828" xr:uid="{EF68D738-BE70-48BE-ACE9-3DFF7568BCBD}"/>
    <cellStyle name="Normal 4 4 2 2 2 5" xfId="1648" xr:uid="{00000000-0005-0000-0000-000097060000}"/>
    <cellStyle name="Normal 4 4 2 2 2 5 2" xfId="3878" xr:uid="{00000000-0005-0000-0000-00004D0F0000}"/>
    <cellStyle name="Normal 4 4 2 2 2 5 2 2" xfId="8100" xr:uid="{00000000-0005-0000-0000-0000CB1F0000}"/>
    <cellStyle name="Normal 4 4 2 2 2 5 2 2 2" xfId="17691" xr:uid="{8AFC654C-A6D6-489E-9DF4-7A4B799842B4}"/>
    <cellStyle name="Normal 4 4 2 2 2 5 2 3" xfId="13470" xr:uid="{EE85B65C-2DCA-451C-8652-45F19B2BE420}"/>
    <cellStyle name="Normal 4 4 2 2 2 5 3" xfId="5955" xr:uid="{00000000-0005-0000-0000-00006A170000}"/>
    <cellStyle name="Normal 4 4 2 2 2 5 3 2" xfId="15546" xr:uid="{341375BA-8E2C-4BFC-BC82-3E63E2823348}"/>
    <cellStyle name="Normal 4 4 2 2 2 5 4" xfId="11241" xr:uid="{97DA2E95-B247-4FC7-86B9-5D4338001FC4}"/>
    <cellStyle name="Normal 4 4 2 2 2 6" xfId="2062" xr:uid="{00000000-0005-0000-0000-000035080000}"/>
    <cellStyle name="Normal 4 4 2 2 2 6 2" xfId="4291" xr:uid="{00000000-0005-0000-0000-0000EA100000}"/>
    <cellStyle name="Normal 4 4 2 2 2 6 2 2" xfId="8513" xr:uid="{00000000-0005-0000-0000-000068210000}"/>
    <cellStyle name="Normal 4 4 2 2 2 6 2 2 2" xfId="18104" xr:uid="{560B680D-B969-4FFC-B843-7955E95B9962}"/>
    <cellStyle name="Normal 4 4 2 2 2 6 2 3" xfId="13883" xr:uid="{9323E516-8986-4B11-BF62-EAB27CD05A5E}"/>
    <cellStyle name="Normal 4 4 2 2 2 6 3" xfId="6368" xr:uid="{00000000-0005-0000-0000-000007190000}"/>
    <cellStyle name="Normal 4 4 2 2 2 6 3 2" xfId="15959" xr:uid="{5B2355A1-736A-4299-B0B2-F7584FC92687}"/>
    <cellStyle name="Normal 4 4 2 2 2 6 4" xfId="11654" xr:uid="{8980AAF0-B69D-422C-9F4C-55FACBBBE792}"/>
    <cellStyle name="Normal 4 4 2 2 2 7" xfId="2498" xr:uid="{00000000-0005-0000-0000-0000E9090000}"/>
    <cellStyle name="Normal 4 4 2 2 2 7 2" xfId="6781" xr:uid="{00000000-0005-0000-0000-0000A41A0000}"/>
    <cellStyle name="Normal 4 4 2 2 2 7 2 2" xfId="16372" xr:uid="{5C673075-3F2B-4AAE-A953-4BDB3FFCFDC0}"/>
    <cellStyle name="Normal 4 4 2 2 2 7 3" xfId="12090" xr:uid="{0AB6C6DF-BD92-4090-9F1A-205334C5DAA6}"/>
    <cellStyle name="Normal 4 4 2 2 2 8" xfId="4716" xr:uid="{00000000-0005-0000-0000-000093120000}"/>
    <cellStyle name="Normal 4 4 2 2 2 8 2" xfId="14307" xr:uid="{32EC1665-735D-408B-86DB-2ED3404EFEC4}"/>
    <cellStyle name="Normal 4 4 2 2 2 9" xfId="8888" xr:uid="{00000000-0005-0000-0000-0000DF220000}"/>
    <cellStyle name="Normal 4 4 2 2 3" xfId="347" xr:uid="{00000000-0005-0000-0000-00007F010000}"/>
    <cellStyle name="Normal 4 4 2 2 3 2" xfId="819" xr:uid="{00000000-0005-0000-0000-00005A030000}"/>
    <cellStyle name="Normal 4 4 2 2 3 2 2" xfId="3054" xr:uid="{00000000-0005-0000-0000-0000150C0000}"/>
    <cellStyle name="Normal 4 4 2 2 3 2 2 2" xfId="7276" xr:uid="{00000000-0005-0000-0000-0000931C0000}"/>
    <cellStyle name="Normal 4 4 2 2 3 2 2 2 2" xfId="16867" xr:uid="{79A84F92-B925-4FC9-AD1E-03ACE6C32CC7}"/>
    <cellStyle name="Normal 4 4 2 2 3 2 2 3" xfId="12646" xr:uid="{0CA6C112-4B20-4E2D-9DCB-B067230C64C8}"/>
    <cellStyle name="Normal 4 4 2 2 3 2 3" xfId="5131" xr:uid="{00000000-0005-0000-0000-000032140000}"/>
    <cellStyle name="Normal 4 4 2 2 3 2 3 2" xfId="14722" xr:uid="{FC8A76B7-216D-4431-A152-CE89BCE02A6B}"/>
    <cellStyle name="Normal 4 4 2 2 3 2 4" xfId="9417" xr:uid="{00000000-0005-0000-0000-0000F0240000}"/>
    <cellStyle name="Normal 4 4 2 2 3 2 5" xfId="10412" xr:uid="{FDCC3DA3-02A6-4D3A-BB3E-5D72CB823B95}"/>
    <cellStyle name="Normal 4 4 2 2 3 3" xfId="1237" xr:uid="{00000000-0005-0000-0000-0000FC040000}"/>
    <cellStyle name="Normal 4 4 2 2 3 3 2" xfId="3467" xr:uid="{00000000-0005-0000-0000-0000B20D0000}"/>
    <cellStyle name="Normal 4 4 2 2 3 3 2 2" xfId="7689" xr:uid="{00000000-0005-0000-0000-0000301E0000}"/>
    <cellStyle name="Normal 4 4 2 2 3 3 2 2 2" xfId="17280" xr:uid="{ECE5B2C7-45B3-4601-ADFE-E351BBAF0C37}"/>
    <cellStyle name="Normal 4 4 2 2 3 3 2 3" xfId="13059" xr:uid="{69C00547-725A-409E-AD71-49E2AEE4B7DF}"/>
    <cellStyle name="Normal 4 4 2 2 3 3 3" xfId="5544" xr:uid="{00000000-0005-0000-0000-0000CF150000}"/>
    <cellStyle name="Normal 4 4 2 2 3 3 3 2" xfId="15135" xr:uid="{4C52D526-974A-4224-821B-2BA713D073C0}"/>
    <cellStyle name="Normal 4 4 2 2 3 3 4" xfId="10830" xr:uid="{A565014E-F38C-4C9C-BDC0-898AF119050E}"/>
    <cellStyle name="Normal 4 4 2 2 3 4" xfId="1650" xr:uid="{00000000-0005-0000-0000-000099060000}"/>
    <cellStyle name="Normal 4 4 2 2 3 4 2" xfId="3880" xr:uid="{00000000-0005-0000-0000-00004F0F0000}"/>
    <cellStyle name="Normal 4 4 2 2 3 4 2 2" xfId="8102" xr:uid="{00000000-0005-0000-0000-0000CD1F0000}"/>
    <cellStyle name="Normal 4 4 2 2 3 4 2 2 2" xfId="17693" xr:uid="{6E8CAE3B-0EF2-418E-A4B9-AC52C04A711F}"/>
    <cellStyle name="Normal 4 4 2 2 3 4 2 3" xfId="13472" xr:uid="{B977DEF3-4451-4CD4-B713-9AAC1644915C}"/>
    <cellStyle name="Normal 4 4 2 2 3 4 3" xfId="5957" xr:uid="{00000000-0005-0000-0000-00006C170000}"/>
    <cellStyle name="Normal 4 4 2 2 3 4 3 2" xfId="15548" xr:uid="{828B25AA-0F28-4D0D-B2E1-D656CC6F4EDE}"/>
    <cellStyle name="Normal 4 4 2 2 3 4 4" xfId="11243" xr:uid="{32045130-010D-4B05-B979-8103D5A970F8}"/>
    <cellStyle name="Normal 4 4 2 2 3 5" xfId="2064" xr:uid="{00000000-0005-0000-0000-000037080000}"/>
    <cellStyle name="Normal 4 4 2 2 3 5 2" xfId="4293" xr:uid="{00000000-0005-0000-0000-0000EC100000}"/>
    <cellStyle name="Normal 4 4 2 2 3 5 2 2" xfId="8515" xr:uid="{00000000-0005-0000-0000-00006A210000}"/>
    <cellStyle name="Normal 4 4 2 2 3 5 2 2 2" xfId="18106" xr:uid="{966FD751-F2B7-4418-A5CE-4428AABCFFB9}"/>
    <cellStyle name="Normal 4 4 2 2 3 5 2 3" xfId="13885" xr:uid="{F740F298-B77C-4E9C-8D2D-FDA8123B785C}"/>
    <cellStyle name="Normal 4 4 2 2 3 5 3" xfId="6370" xr:uid="{00000000-0005-0000-0000-000009190000}"/>
    <cellStyle name="Normal 4 4 2 2 3 5 3 2" xfId="15961" xr:uid="{EAC9F0EB-C457-4A23-BBDB-5F348D7411B0}"/>
    <cellStyle name="Normal 4 4 2 2 3 5 4" xfId="11656" xr:uid="{E241E7EC-536E-4864-93AD-6898DCC63590}"/>
    <cellStyle name="Normal 4 4 2 2 3 6" xfId="2500" xr:uid="{00000000-0005-0000-0000-0000EB090000}"/>
    <cellStyle name="Normal 4 4 2 2 3 6 2" xfId="6783" xr:uid="{00000000-0005-0000-0000-0000A61A0000}"/>
    <cellStyle name="Normal 4 4 2 2 3 6 2 2" xfId="16374" xr:uid="{B379E6B3-CD89-43D7-B273-F0961FD92F87}"/>
    <cellStyle name="Normal 4 4 2 2 3 6 3" xfId="12092" xr:uid="{2DA78730-3D05-4CFB-8EA8-7C77D1940F4C}"/>
    <cellStyle name="Normal 4 4 2 2 3 7" xfId="4718" xr:uid="{00000000-0005-0000-0000-000095120000}"/>
    <cellStyle name="Normal 4 4 2 2 3 7 2" xfId="14309" xr:uid="{CD80E044-1029-4E04-8CD1-C024691BE77C}"/>
    <cellStyle name="Normal 4 4 2 2 3 8" xfId="8992" xr:uid="{00000000-0005-0000-0000-000047230000}"/>
    <cellStyle name="Normal 4 4 2 2 3 9" xfId="9946" xr:uid="{9C352DEE-525E-4067-A9F1-B1FCEF17765B}"/>
    <cellStyle name="Normal 4 4 2 2 4" xfId="816" xr:uid="{00000000-0005-0000-0000-000057030000}"/>
    <cellStyle name="Normal 4 4 2 2 4 2" xfId="3051" xr:uid="{00000000-0005-0000-0000-0000120C0000}"/>
    <cellStyle name="Normal 4 4 2 2 4 2 2" xfId="7273" xr:uid="{00000000-0005-0000-0000-0000901C0000}"/>
    <cellStyle name="Normal 4 4 2 2 4 2 2 2" xfId="16864" xr:uid="{61F81834-3F87-4838-8A92-BD4C55323773}"/>
    <cellStyle name="Normal 4 4 2 2 4 2 3" xfId="12643" xr:uid="{451EFDD0-C9BD-4FA8-8F6E-86B1D6DC7F79}"/>
    <cellStyle name="Normal 4 4 2 2 4 3" xfId="5128" xr:uid="{00000000-0005-0000-0000-00002F140000}"/>
    <cellStyle name="Normal 4 4 2 2 4 3 2" xfId="14719" xr:uid="{9B7473BD-5181-45AF-BDA8-564F94CDCDA5}"/>
    <cellStyle name="Normal 4 4 2 2 4 4" xfId="9210" xr:uid="{00000000-0005-0000-0000-000021240000}"/>
    <cellStyle name="Normal 4 4 2 2 4 5" xfId="10409" xr:uid="{96D3A6CF-0213-42D6-BF6D-45F5B5E48C48}"/>
    <cellStyle name="Normal 4 4 2 2 5" xfId="1234" xr:uid="{00000000-0005-0000-0000-0000F9040000}"/>
    <cellStyle name="Normal 4 4 2 2 5 2" xfId="3464" xr:uid="{00000000-0005-0000-0000-0000AF0D0000}"/>
    <cellStyle name="Normal 4 4 2 2 5 2 2" xfId="7686" xr:uid="{00000000-0005-0000-0000-00002D1E0000}"/>
    <cellStyle name="Normal 4 4 2 2 5 2 2 2" xfId="17277" xr:uid="{C1FD4D47-6D87-4D48-990A-F9FD65B0B14F}"/>
    <cellStyle name="Normal 4 4 2 2 5 2 3" xfId="13056" xr:uid="{26B272BE-D909-4B15-AC30-A8CD7D3EE790}"/>
    <cellStyle name="Normal 4 4 2 2 5 3" xfId="5541" xr:uid="{00000000-0005-0000-0000-0000CC150000}"/>
    <cellStyle name="Normal 4 4 2 2 5 3 2" xfId="15132" xr:uid="{13A64AC2-0C0E-4DB3-A538-2990999CA7F2}"/>
    <cellStyle name="Normal 4 4 2 2 5 4" xfId="10827" xr:uid="{F9CC7C26-D069-4CEC-AD03-F30E8D37FE80}"/>
    <cellStyle name="Normal 4 4 2 2 6" xfId="1647" xr:uid="{00000000-0005-0000-0000-000096060000}"/>
    <cellStyle name="Normal 4 4 2 2 6 2" xfId="3877" xr:uid="{00000000-0005-0000-0000-00004C0F0000}"/>
    <cellStyle name="Normal 4 4 2 2 6 2 2" xfId="8099" xr:uid="{00000000-0005-0000-0000-0000CA1F0000}"/>
    <cellStyle name="Normal 4 4 2 2 6 2 2 2" xfId="17690" xr:uid="{402AEE58-BC10-4065-BC43-BF11BDB83DB5}"/>
    <cellStyle name="Normal 4 4 2 2 6 2 3" xfId="13469" xr:uid="{8FDDB109-80EA-44F2-901E-CF6876098990}"/>
    <cellStyle name="Normal 4 4 2 2 6 3" xfId="5954" xr:uid="{00000000-0005-0000-0000-000069170000}"/>
    <cellStyle name="Normal 4 4 2 2 6 3 2" xfId="15545" xr:uid="{4745EB48-42AB-4D71-8EAB-BE7300D83906}"/>
    <cellStyle name="Normal 4 4 2 2 6 4" xfId="11240" xr:uid="{D3ADC8A1-E3D6-4EAC-ABD2-A949A15F3783}"/>
    <cellStyle name="Normal 4 4 2 2 7" xfId="2061" xr:uid="{00000000-0005-0000-0000-000034080000}"/>
    <cellStyle name="Normal 4 4 2 2 7 2" xfId="4290" xr:uid="{00000000-0005-0000-0000-0000E9100000}"/>
    <cellStyle name="Normal 4 4 2 2 7 2 2" xfId="8512" xr:uid="{00000000-0005-0000-0000-000067210000}"/>
    <cellStyle name="Normal 4 4 2 2 7 2 2 2" xfId="18103" xr:uid="{9A6AC756-1161-4499-8396-8ED0FB23CE79}"/>
    <cellStyle name="Normal 4 4 2 2 7 2 3" xfId="13882" xr:uid="{79BCE584-B185-4334-AB93-A50D64603686}"/>
    <cellStyle name="Normal 4 4 2 2 7 3" xfId="6367" xr:uid="{00000000-0005-0000-0000-000006190000}"/>
    <cellStyle name="Normal 4 4 2 2 7 3 2" xfId="15958" xr:uid="{D0936155-7456-417E-AEA0-9F0BB0E08B59}"/>
    <cellStyle name="Normal 4 4 2 2 7 4" xfId="11653" xr:uid="{05CFE124-9376-4BDD-AF60-72B40104854B}"/>
    <cellStyle name="Normal 4 4 2 2 8" xfId="2497" xr:uid="{00000000-0005-0000-0000-0000E8090000}"/>
    <cellStyle name="Normal 4 4 2 2 8 2" xfId="6780" xr:uid="{00000000-0005-0000-0000-0000A31A0000}"/>
    <cellStyle name="Normal 4 4 2 2 8 2 2" xfId="16371" xr:uid="{99646F86-380D-439A-9967-963DE757F078}"/>
    <cellStyle name="Normal 4 4 2 2 8 3" xfId="12089" xr:uid="{66CF4595-5DEC-49A5-AE15-5D7EEDD3EE5B}"/>
    <cellStyle name="Normal 4 4 2 2 9" xfId="4715" xr:uid="{00000000-0005-0000-0000-000092120000}"/>
    <cellStyle name="Normal 4 4 2 2 9 2" xfId="14306" xr:uid="{EDBDF1F9-64B2-46D0-81BE-A8161EEBDB03}"/>
    <cellStyle name="Normal 4 4 2 3" xfId="348" xr:uid="{00000000-0005-0000-0000-000080010000}"/>
    <cellStyle name="Normal 4 4 2 3 10" xfId="9947" xr:uid="{2AB15131-4585-4748-8270-5E70DC74AC08}"/>
    <cellStyle name="Normal 4 4 2 3 2" xfId="349" xr:uid="{00000000-0005-0000-0000-000081010000}"/>
    <cellStyle name="Normal 4 4 2 3 2 2" xfId="821" xr:uid="{00000000-0005-0000-0000-00005C030000}"/>
    <cellStyle name="Normal 4 4 2 3 2 2 2" xfId="3056" xr:uid="{00000000-0005-0000-0000-0000170C0000}"/>
    <cellStyle name="Normal 4 4 2 3 2 2 2 2" xfId="7278" xr:uid="{00000000-0005-0000-0000-0000951C0000}"/>
    <cellStyle name="Normal 4 4 2 3 2 2 2 2 2" xfId="16869" xr:uid="{B4509A90-B894-4F50-8113-4715B473F07D}"/>
    <cellStyle name="Normal 4 4 2 3 2 2 2 3" xfId="12648" xr:uid="{CF4EC773-045C-4EA2-84F4-FE14FB118088}"/>
    <cellStyle name="Normal 4 4 2 3 2 2 3" xfId="5133" xr:uid="{00000000-0005-0000-0000-000034140000}"/>
    <cellStyle name="Normal 4 4 2 3 2 2 3 2" xfId="14724" xr:uid="{51ADB426-952C-4DC5-883F-5927B0F1C992}"/>
    <cellStyle name="Normal 4 4 2 3 2 2 4" xfId="9477" xr:uid="{00000000-0005-0000-0000-00002C250000}"/>
    <cellStyle name="Normal 4 4 2 3 2 2 5" xfId="10414" xr:uid="{954A6DBA-5724-486F-AB16-80B491582EF6}"/>
    <cellStyle name="Normal 4 4 2 3 2 3" xfId="1239" xr:uid="{00000000-0005-0000-0000-0000FE040000}"/>
    <cellStyle name="Normal 4 4 2 3 2 3 2" xfId="3469" xr:uid="{00000000-0005-0000-0000-0000B40D0000}"/>
    <cellStyle name="Normal 4 4 2 3 2 3 2 2" xfId="7691" xr:uid="{00000000-0005-0000-0000-0000321E0000}"/>
    <cellStyle name="Normal 4 4 2 3 2 3 2 2 2" xfId="17282" xr:uid="{5A4338ED-5735-435E-B9FB-47459C226BE4}"/>
    <cellStyle name="Normal 4 4 2 3 2 3 2 3" xfId="13061" xr:uid="{4E91AA55-760D-4DBF-8877-6BB122D4A189}"/>
    <cellStyle name="Normal 4 4 2 3 2 3 3" xfId="5546" xr:uid="{00000000-0005-0000-0000-0000D1150000}"/>
    <cellStyle name="Normal 4 4 2 3 2 3 3 2" xfId="15137" xr:uid="{EA637F80-6B56-450A-80DD-6BE2C9982697}"/>
    <cellStyle name="Normal 4 4 2 3 2 3 4" xfId="10832" xr:uid="{8A65EF7C-213B-43B5-A1E0-D50BDF1D9F23}"/>
    <cellStyle name="Normal 4 4 2 3 2 4" xfId="1652" xr:uid="{00000000-0005-0000-0000-00009B060000}"/>
    <cellStyle name="Normal 4 4 2 3 2 4 2" xfId="3882" xr:uid="{00000000-0005-0000-0000-0000510F0000}"/>
    <cellStyle name="Normal 4 4 2 3 2 4 2 2" xfId="8104" xr:uid="{00000000-0005-0000-0000-0000CF1F0000}"/>
    <cellStyle name="Normal 4 4 2 3 2 4 2 2 2" xfId="17695" xr:uid="{6E0B880E-D248-4C49-8E0B-A09A9CE30C02}"/>
    <cellStyle name="Normal 4 4 2 3 2 4 2 3" xfId="13474" xr:uid="{A2E2B260-6F21-4AAF-9D0C-474F465A0F4D}"/>
    <cellStyle name="Normal 4 4 2 3 2 4 3" xfId="5959" xr:uid="{00000000-0005-0000-0000-00006E170000}"/>
    <cellStyle name="Normal 4 4 2 3 2 4 3 2" xfId="15550" xr:uid="{04080079-72DA-4343-B2DE-259DE7BEDB02}"/>
    <cellStyle name="Normal 4 4 2 3 2 4 4" xfId="11245" xr:uid="{3E9D63F5-3475-4805-AC4C-3C44692B0CE2}"/>
    <cellStyle name="Normal 4 4 2 3 2 5" xfId="2066" xr:uid="{00000000-0005-0000-0000-000039080000}"/>
    <cellStyle name="Normal 4 4 2 3 2 5 2" xfId="4295" xr:uid="{00000000-0005-0000-0000-0000EE100000}"/>
    <cellStyle name="Normal 4 4 2 3 2 5 2 2" xfId="8517" xr:uid="{00000000-0005-0000-0000-00006C210000}"/>
    <cellStyle name="Normal 4 4 2 3 2 5 2 2 2" xfId="18108" xr:uid="{B55F6D42-F71F-4FB5-A29D-C09761488D1B}"/>
    <cellStyle name="Normal 4 4 2 3 2 5 2 3" xfId="13887" xr:uid="{D2AEF5EA-A698-41F9-83B5-F09C7D2DABDA}"/>
    <cellStyle name="Normal 4 4 2 3 2 5 3" xfId="6372" xr:uid="{00000000-0005-0000-0000-00000B190000}"/>
    <cellStyle name="Normal 4 4 2 3 2 5 3 2" xfId="15963" xr:uid="{75B3217A-D91E-4C1B-9166-5A04688FF360}"/>
    <cellStyle name="Normal 4 4 2 3 2 5 4" xfId="11658" xr:uid="{462EA8C5-17DC-4BB6-8FA4-62D88327EF4F}"/>
    <cellStyle name="Normal 4 4 2 3 2 6" xfId="2502" xr:uid="{00000000-0005-0000-0000-0000ED090000}"/>
    <cellStyle name="Normal 4 4 2 3 2 6 2" xfId="6785" xr:uid="{00000000-0005-0000-0000-0000A81A0000}"/>
    <cellStyle name="Normal 4 4 2 3 2 6 2 2" xfId="16376" xr:uid="{2D7A7794-BD7E-4AD2-A8C6-641F40DDD5BD}"/>
    <cellStyle name="Normal 4 4 2 3 2 6 3" xfId="12094" xr:uid="{814AA0A8-700D-4E99-A625-EA14D238D817}"/>
    <cellStyle name="Normal 4 4 2 3 2 7" xfId="4720" xr:uid="{00000000-0005-0000-0000-000097120000}"/>
    <cellStyle name="Normal 4 4 2 3 2 7 2" xfId="14311" xr:uid="{8005FA60-581F-44A5-920D-1BA5BA54EE99}"/>
    <cellStyle name="Normal 4 4 2 3 2 8" xfId="9052" xr:uid="{00000000-0005-0000-0000-000083230000}"/>
    <cellStyle name="Normal 4 4 2 3 2 9" xfId="9948" xr:uid="{7987EF01-D759-4CAC-8C0F-F035606B293C}"/>
    <cellStyle name="Normal 4 4 2 3 3" xfId="820" xr:uid="{00000000-0005-0000-0000-00005B030000}"/>
    <cellStyle name="Normal 4 4 2 3 3 2" xfId="3055" xr:uid="{00000000-0005-0000-0000-0000160C0000}"/>
    <cellStyle name="Normal 4 4 2 3 3 2 2" xfId="7277" xr:uid="{00000000-0005-0000-0000-0000941C0000}"/>
    <cellStyle name="Normal 4 4 2 3 3 2 2 2" xfId="16868" xr:uid="{CC25580F-8066-44A7-89B1-01FE15568CF4}"/>
    <cellStyle name="Normal 4 4 2 3 3 2 3" xfId="12647" xr:uid="{04DD0300-93CD-4868-B700-2BED96A9384C}"/>
    <cellStyle name="Normal 4 4 2 3 3 3" xfId="5132" xr:uid="{00000000-0005-0000-0000-000033140000}"/>
    <cellStyle name="Normal 4 4 2 3 3 3 2" xfId="14723" xr:uid="{826A13D6-A87A-4A72-911C-BBD4C4426184}"/>
    <cellStyle name="Normal 4 4 2 3 3 4" xfId="9270" xr:uid="{00000000-0005-0000-0000-00005D240000}"/>
    <cellStyle name="Normal 4 4 2 3 3 5" xfId="10413" xr:uid="{2F70D849-5048-4818-A372-38A012C39669}"/>
    <cellStyle name="Normal 4 4 2 3 4" xfId="1238" xr:uid="{00000000-0005-0000-0000-0000FD040000}"/>
    <cellStyle name="Normal 4 4 2 3 4 2" xfId="3468" xr:uid="{00000000-0005-0000-0000-0000B30D0000}"/>
    <cellStyle name="Normal 4 4 2 3 4 2 2" xfId="7690" xr:uid="{00000000-0005-0000-0000-0000311E0000}"/>
    <cellStyle name="Normal 4 4 2 3 4 2 2 2" xfId="17281" xr:uid="{C37620E7-B30A-4813-998C-53522F642AA7}"/>
    <cellStyle name="Normal 4 4 2 3 4 2 3" xfId="13060" xr:uid="{5DC0B630-FC39-4D5A-8BE6-3E4A63235B6B}"/>
    <cellStyle name="Normal 4 4 2 3 4 3" xfId="5545" xr:uid="{00000000-0005-0000-0000-0000D0150000}"/>
    <cellStyle name="Normal 4 4 2 3 4 3 2" xfId="15136" xr:uid="{60EBFD97-55EB-4A1B-A0E4-94A4CEBFA0B0}"/>
    <cellStyle name="Normal 4 4 2 3 4 4" xfId="10831" xr:uid="{66C6276F-2856-4EB5-B7EF-C1901640F549}"/>
    <cellStyle name="Normal 4 4 2 3 5" xfId="1651" xr:uid="{00000000-0005-0000-0000-00009A060000}"/>
    <cellStyle name="Normal 4 4 2 3 5 2" xfId="3881" xr:uid="{00000000-0005-0000-0000-0000500F0000}"/>
    <cellStyle name="Normal 4 4 2 3 5 2 2" xfId="8103" xr:uid="{00000000-0005-0000-0000-0000CE1F0000}"/>
    <cellStyle name="Normal 4 4 2 3 5 2 2 2" xfId="17694" xr:uid="{A229E8F1-30FE-482A-8ADD-E5CE68778B5F}"/>
    <cellStyle name="Normal 4 4 2 3 5 2 3" xfId="13473" xr:uid="{68619F33-DA9F-4BBC-8019-D3A675C99819}"/>
    <cellStyle name="Normal 4 4 2 3 5 3" xfId="5958" xr:uid="{00000000-0005-0000-0000-00006D170000}"/>
    <cellStyle name="Normal 4 4 2 3 5 3 2" xfId="15549" xr:uid="{890C972D-CD5E-4B95-9000-00C1A5D6C769}"/>
    <cellStyle name="Normal 4 4 2 3 5 4" xfId="11244" xr:uid="{DD6B8217-18B3-4A3E-897A-61219AA2D04E}"/>
    <cellStyle name="Normal 4 4 2 3 6" xfId="2065" xr:uid="{00000000-0005-0000-0000-000038080000}"/>
    <cellStyle name="Normal 4 4 2 3 6 2" xfId="4294" xr:uid="{00000000-0005-0000-0000-0000ED100000}"/>
    <cellStyle name="Normal 4 4 2 3 6 2 2" xfId="8516" xr:uid="{00000000-0005-0000-0000-00006B210000}"/>
    <cellStyle name="Normal 4 4 2 3 6 2 2 2" xfId="18107" xr:uid="{45ED0E2B-3DC8-42E1-936A-0C76FE15B81A}"/>
    <cellStyle name="Normal 4 4 2 3 6 2 3" xfId="13886" xr:uid="{A7E423E4-6BAF-4F05-9811-A84547FA530E}"/>
    <cellStyle name="Normal 4 4 2 3 6 3" xfId="6371" xr:uid="{00000000-0005-0000-0000-00000A190000}"/>
    <cellStyle name="Normal 4 4 2 3 6 3 2" xfId="15962" xr:uid="{D855A721-2766-4946-B57E-B93292F62254}"/>
    <cellStyle name="Normal 4 4 2 3 6 4" xfId="11657" xr:uid="{A7A8E82A-A6AA-4F51-A61E-C24FDEC2C47F}"/>
    <cellStyle name="Normal 4 4 2 3 7" xfId="2501" xr:uid="{00000000-0005-0000-0000-0000EC090000}"/>
    <cellStyle name="Normal 4 4 2 3 7 2" xfId="6784" xr:uid="{00000000-0005-0000-0000-0000A71A0000}"/>
    <cellStyle name="Normal 4 4 2 3 7 2 2" xfId="16375" xr:uid="{5A30FCEF-5CB7-4C45-AD44-2FB1D49E0C4B}"/>
    <cellStyle name="Normal 4 4 2 3 7 3" xfId="12093" xr:uid="{55F2B961-FC7B-4588-B4BF-80BE9ECFB978}"/>
    <cellStyle name="Normal 4 4 2 3 8" xfId="4719" xr:uid="{00000000-0005-0000-0000-000096120000}"/>
    <cellStyle name="Normal 4 4 2 3 8 2" xfId="14310" xr:uid="{EEE1B2D0-09E9-48D9-A7E0-2BA7F91453DE}"/>
    <cellStyle name="Normal 4 4 2 3 9" xfId="8845" xr:uid="{00000000-0005-0000-0000-0000B4220000}"/>
    <cellStyle name="Normal 4 4 2 4" xfId="350" xr:uid="{00000000-0005-0000-0000-000082010000}"/>
    <cellStyle name="Normal 4 4 2 4 2" xfId="822" xr:uid="{00000000-0005-0000-0000-00005D030000}"/>
    <cellStyle name="Normal 4 4 2 4 2 2" xfId="3057" xr:uid="{00000000-0005-0000-0000-0000180C0000}"/>
    <cellStyle name="Normal 4 4 2 4 2 2 2" xfId="7279" xr:uid="{00000000-0005-0000-0000-0000961C0000}"/>
    <cellStyle name="Normal 4 4 2 4 2 2 2 2" xfId="16870" xr:uid="{DB70D594-C15C-42D9-BB9C-751BD978BAB3}"/>
    <cellStyle name="Normal 4 4 2 4 2 2 3" xfId="12649" xr:uid="{2C0E553A-DBA2-4AFD-AD7A-CD6025FF8D4A}"/>
    <cellStyle name="Normal 4 4 2 4 2 3" xfId="5134" xr:uid="{00000000-0005-0000-0000-000035140000}"/>
    <cellStyle name="Normal 4 4 2 4 2 3 2" xfId="14725" xr:uid="{20F48B68-594A-4F5E-97A6-BECF9D6F0CAB}"/>
    <cellStyle name="Normal 4 4 2 4 2 4" xfId="9374" xr:uid="{00000000-0005-0000-0000-0000C5240000}"/>
    <cellStyle name="Normal 4 4 2 4 2 5" xfId="10415" xr:uid="{0231CBCD-D735-48D0-8713-13802C5661AF}"/>
    <cellStyle name="Normal 4 4 2 4 3" xfId="1240" xr:uid="{00000000-0005-0000-0000-0000FF040000}"/>
    <cellStyle name="Normal 4 4 2 4 3 2" xfId="3470" xr:uid="{00000000-0005-0000-0000-0000B50D0000}"/>
    <cellStyle name="Normal 4 4 2 4 3 2 2" xfId="7692" xr:uid="{00000000-0005-0000-0000-0000331E0000}"/>
    <cellStyle name="Normal 4 4 2 4 3 2 2 2" xfId="17283" xr:uid="{45CEAE00-4014-4974-AABC-AE29102BA274}"/>
    <cellStyle name="Normal 4 4 2 4 3 2 3" xfId="13062" xr:uid="{BF7518B0-42F9-4F45-A2AC-A9DD63B1F358}"/>
    <cellStyle name="Normal 4 4 2 4 3 3" xfId="5547" xr:uid="{00000000-0005-0000-0000-0000D2150000}"/>
    <cellStyle name="Normal 4 4 2 4 3 3 2" xfId="15138" xr:uid="{E9F31F8F-F893-48A7-BBE7-07A27D08262D}"/>
    <cellStyle name="Normal 4 4 2 4 3 4" xfId="10833" xr:uid="{C1EA6966-9FC1-45BC-96BE-106DA230F03F}"/>
    <cellStyle name="Normal 4 4 2 4 4" xfId="1653" xr:uid="{00000000-0005-0000-0000-00009C060000}"/>
    <cellStyle name="Normal 4 4 2 4 4 2" xfId="3883" xr:uid="{00000000-0005-0000-0000-0000520F0000}"/>
    <cellStyle name="Normal 4 4 2 4 4 2 2" xfId="8105" xr:uid="{00000000-0005-0000-0000-0000D01F0000}"/>
    <cellStyle name="Normal 4 4 2 4 4 2 2 2" xfId="17696" xr:uid="{1ACA1C21-6221-42C4-B858-0B1D0736C999}"/>
    <cellStyle name="Normal 4 4 2 4 4 2 3" xfId="13475" xr:uid="{4CBC3D25-F063-4A84-BB68-3A612E1773CB}"/>
    <cellStyle name="Normal 4 4 2 4 4 3" xfId="5960" xr:uid="{00000000-0005-0000-0000-00006F170000}"/>
    <cellStyle name="Normal 4 4 2 4 4 3 2" xfId="15551" xr:uid="{02256BA4-35F7-4B3C-9590-B436B3A4D1B9}"/>
    <cellStyle name="Normal 4 4 2 4 4 4" xfId="11246" xr:uid="{44FCA096-F3C5-4EEF-A958-BA60D307ED67}"/>
    <cellStyle name="Normal 4 4 2 4 5" xfId="2067" xr:uid="{00000000-0005-0000-0000-00003A080000}"/>
    <cellStyle name="Normal 4 4 2 4 5 2" xfId="4296" xr:uid="{00000000-0005-0000-0000-0000EF100000}"/>
    <cellStyle name="Normal 4 4 2 4 5 2 2" xfId="8518" xr:uid="{00000000-0005-0000-0000-00006D210000}"/>
    <cellStyle name="Normal 4 4 2 4 5 2 2 2" xfId="18109" xr:uid="{9A890080-B1AE-4CDB-8C65-B29083BB4299}"/>
    <cellStyle name="Normal 4 4 2 4 5 2 3" xfId="13888" xr:uid="{BA13949E-0C82-4FEA-8270-6AB8D27B491B}"/>
    <cellStyle name="Normal 4 4 2 4 5 3" xfId="6373" xr:uid="{00000000-0005-0000-0000-00000C190000}"/>
    <cellStyle name="Normal 4 4 2 4 5 3 2" xfId="15964" xr:uid="{58CD7A21-9168-4FED-915B-5808569760DB}"/>
    <cellStyle name="Normal 4 4 2 4 5 4" xfId="11659" xr:uid="{10554EF3-CFE1-44C5-B3D7-AA0D8A351CD5}"/>
    <cellStyle name="Normal 4 4 2 4 6" xfId="2503" xr:uid="{00000000-0005-0000-0000-0000EE090000}"/>
    <cellStyle name="Normal 4 4 2 4 6 2" xfId="6786" xr:uid="{00000000-0005-0000-0000-0000A91A0000}"/>
    <cellStyle name="Normal 4 4 2 4 6 2 2" xfId="16377" xr:uid="{369B8F82-F3B4-42D4-ADD6-6F06D0149419}"/>
    <cellStyle name="Normal 4 4 2 4 6 3" xfId="12095" xr:uid="{2E267E46-CA9A-4362-BD34-D4BCA9257724}"/>
    <cellStyle name="Normal 4 4 2 4 7" xfId="4721" xr:uid="{00000000-0005-0000-0000-000098120000}"/>
    <cellStyle name="Normal 4 4 2 4 7 2" xfId="14312" xr:uid="{3EC2B4EC-C980-41C1-B570-C4FE78AD3BE6}"/>
    <cellStyle name="Normal 4 4 2 4 8" xfId="8949" xr:uid="{00000000-0005-0000-0000-00001C230000}"/>
    <cellStyle name="Normal 4 4 2 4 9" xfId="9949" xr:uid="{5C991547-3253-43C3-9A3C-E9202E470BC1}"/>
    <cellStyle name="Normal 4 4 2 5" xfId="815" xr:uid="{00000000-0005-0000-0000-000056030000}"/>
    <cellStyle name="Normal 4 4 2 5 2" xfId="3050" xr:uid="{00000000-0005-0000-0000-0000110C0000}"/>
    <cellStyle name="Normal 4 4 2 5 2 2" xfId="7272" xr:uid="{00000000-0005-0000-0000-00008F1C0000}"/>
    <cellStyle name="Normal 4 4 2 5 2 2 2" xfId="16863" xr:uid="{3101BC35-892B-4FE2-89FF-50A8A6A1CFC5}"/>
    <cellStyle name="Normal 4 4 2 5 2 3" xfId="12642" xr:uid="{B678CDAB-ACE4-43EA-9A15-02AD1D050AB6}"/>
    <cellStyle name="Normal 4 4 2 5 3" xfId="5127" xr:uid="{00000000-0005-0000-0000-00002E140000}"/>
    <cellStyle name="Normal 4 4 2 5 3 2" xfId="14718" xr:uid="{C2382279-92A1-449D-8525-8B674F48952C}"/>
    <cellStyle name="Normal 4 4 2 5 4" xfId="9166" xr:uid="{00000000-0005-0000-0000-0000F5230000}"/>
    <cellStyle name="Normal 4 4 2 5 5" xfId="10408" xr:uid="{C8CB6FB1-DDD4-4537-AE57-C42D0D0474F0}"/>
    <cellStyle name="Normal 4 4 2 6" xfId="1233" xr:uid="{00000000-0005-0000-0000-0000F8040000}"/>
    <cellStyle name="Normal 4 4 2 6 2" xfId="3463" xr:uid="{00000000-0005-0000-0000-0000AE0D0000}"/>
    <cellStyle name="Normal 4 4 2 6 2 2" xfId="7685" xr:uid="{00000000-0005-0000-0000-00002C1E0000}"/>
    <cellStyle name="Normal 4 4 2 6 2 2 2" xfId="17276" xr:uid="{4A39972D-2E62-476E-94A6-CF6E5466D933}"/>
    <cellStyle name="Normal 4 4 2 6 2 3" xfId="13055" xr:uid="{9CF39811-DFEC-4A06-8F39-151C69B56CBF}"/>
    <cellStyle name="Normal 4 4 2 6 3" xfId="5540" xr:uid="{00000000-0005-0000-0000-0000CB150000}"/>
    <cellStyle name="Normal 4 4 2 6 3 2" xfId="15131" xr:uid="{8C057DEA-F82B-4F81-82EE-A62F5C672502}"/>
    <cellStyle name="Normal 4 4 2 6 4" xfId="10826" xr:uid="{D0635ACB-02B1-40FA-AFA6-9F4CDFACD672}"/>
    <cellStyle name="Normal 4 4 2 7" xfId="1646" xr:uid="{00000000-0005-0000-0000-000095060000}"/>
    <cellStyle name="Normal 4 4 2 7 2" xfId="3876" xr:uid="{00000000-0005-0000-0000-00004B0F0000}"/>
    <cellStyle name="Normal 4 4 2 7 2 2" xfId="8098" xr:uid="{00000000-0005-0000-0000-0000C91F0000}"/>
    <cellStyle name="Normal 4 4 2 7 2 2 2" xfId="17689" xr:uid="{B3922C48-15FC-4225-9D6F-048EFDC1B8F1}"/>
    <cellStyle name="Normal 4 4 2 7 2 3" xfId="13468" xr:uid="{0B293FD5-7D3A-45F6-B578-5BD88268C0C6}"/>
    <cellStyle name="Normal 4 4 2 7 3" xfId="5953" xr:uid="{00000000-0005-0000-0000-000068170000}"/>
    <cellStyle name="Normal 4 4 2 7 3 2" xfId="15544" xr:uid="{B6B0D9BA-2F77-4BA9-B4BD-BF4376B534AB}"/>
    <cellStyle name="Normal 4 4 2 7 4" xfId="11239" xr:uid="{32384CDF-2E88-4F66-8032-29FDBC859735}"/>
    <cellStyle name="Normal 4 4 2 8" xfId="2060" xr:uid="{00000000-0005-0000-0000-000033080000}"/>
    <cellStyle name="Normal 4 4 2 8 2" xfId="4289" xr:uid="{00000000-0005-0000-0000-0000E8100000}"/>
    <cellStyle name="Normal 4 4 2 8 2 2" xfId="8511" xr:uid="{00000000-0005-0000-0000-000066210000}"/>
    <cellStyle name="Normal 4 4 2 8 2 2 2" xfId="18102" xr:uid="{5CA37B20-342A-43E7-9F25-4AFD602D8942}"/>
    <cellStyle name="Normal 4 4 2 8 2 3" xfId="13881" xr:uid="{C14FDFAC-7992-425D-B43C-409626373BBA}"/>
    <cellStyle name="Normal 4 4 2 8 3" xfId="6366" xr:uid="{00000000-0005-0000-0000-000005190000}"/>
    <cellStyle name="Normal 4 4 2 8 3 2" xfId="15957" xr:uid="{97A37838-42BA-4C36-94F2-5D21DE8267CD}"/>
    <cellStyle name="Normal 4 4 2 8 4" xfId="11652" xr:uid="{3B494B23-41BB-4C10-910C-4A4E04CB5174}"/>
    <cellStyle name="Normal 4 4 2 9" xfId="2496" xr:uid="{00000000-0005-0000-0000-0000E7090000}"/>
    <cellStyle name="Normal 4 4 2 9 2" xfId="6779" xr:uid="{00000000-0005-0000-0000-0000A21A0000}"/>
    <cellStyle name="Normal 4 4 2 9 2 2" xfId="16370" xr:uid="{2337EDA6-6B2A-4F30-A0D2-520D8012ADF3}"/>
    <cellStyle name="Normal 4 4 2 9 3" xfId="12088" xr:uid="{C3BFC583-A716-4420-83B1-C9C07CE99BCD}"/>
    <cellStyle name="Normal 4 4 3" xfId="351" xr:uid="{00000000-0005-0000-0000-000083010000}"/>
    <cellStyle name="Normal 4 4 3 10" xfId="8784" xr:uid="{00000000-0005-0000-0000-000077220000}"/>
    <cellStyle name="Normal 4 4 3 11" xfId="9950" xr:uid="{6F7B1DAF-196E-4464-A54A-BF8FB341D004}"/>
    <cellStyle name="Normal 4 4 3 2" xfId="352" xr:uid="{00000000-0005-0000-0000-000084010000}"/>
    <cellStyle name="Normal 4 4 3 2 10" xfId="9951" xr:uid="{67F1BD6F-2A9F-4B0A-B75D-39B7FFAA2E47}"/>
    <cellStyle name="Normal 4 4 3 2 2" xfId="353" xr:uid="{00000000-0005-0000-0000-000085010000}"/>
    <cellStyle name="Normal 4 4 3 2 2 2" xfId="825" xr:uid="{00000000-0005-0000-0000-000060030000}"/>
    <cellStyle name="Normal 4 4 3 2 2 2 2" xfId="3060" xr:uid="{00000000-0005-0000-0000-00001B0C0000}"/>
    <cellStyle name="Normal 4 4 3 2 2 2 2 2" xfId="7282" xr:uid="{00000000-0005-0000-0000-0000991C0000}"/>
    <cellStyle name="Normal 4 4 3 2 2 2 2 2 2" xfId="16873" xr:uid="{02D51317-A3B6-4669-AEC8-E727DC72E05B}"/>
    <cellStyle name="Normal 4 4 3 2 2 2 2 3" xfId="12652" xr:uid="{97544059-3383-48A1-8220-4883EEC4B7D2}"/>
    <cellStyle name="Normal 4 4 3 2 2 2 3" xfId="5137" xr:uid="{00000000-0005-0000-0000-000038140000}"/>
    <cellStyle name="Normal 4 4 3 2 2 2 3 2" xfId="14728" xr:uid="{EC57F3C1-219B-4753-BCBB-0C795312FEDF}"/>
    <cellStyle name="Normal 4 4 3 2 2 2 4" xfId="9519" xr:uid="{00000000-0005-0000-0000-000056250000}"/>
    <cellStyle name="Normal 4 4 3 2 2 2 5" xfId="10418" xr:uid="{5EFE6815-5931-4B51-A7FC-4381A0D05F0D}"/>
    <cellStyle name="Normal 4 4 3 2 2 3" xfId="1243" xr:uid="{00000000-0005-0000-0000-000002050000}"/>
    <cellStyle name="Normal 4 4 3 2 2 3 2" xfId="3473" xr:uid="{00000000-0005-0000-0000-0000B80D0000}"/>
    <cellStyle name="Normal 4 4 3 2 2 3 2 2" xfId="7695" xr:uid="{00000000-0005-0000-0000-0000361E0000}"/>
    <cellStyle name="Normal 4 4 3 2 2 3 2 2 2" xfId="17286" xr:uid="{4ADFDD65-688B-4E9B-8501-90F6EB5CF777}"/>
    <cellStyle name="Normal 4 4 3 2 2 3 2 3" xfId="13065" xr:uid="{9B7A9E46-E40E-4069-B8EF-CC335CC05362}"/>
    <cellStyle name="Normal 4 4 3 2 2 3 3" xfId="5550" xr:uid="{00000000-0005-0000-0000-0000D5150000}"/>
    <cellStyle name="Normal 4 4 3 2 2 3 3 2" xfId="15141" xr:uid="{F56E72C8-7D11-4007-B522-D47C88528EDB}"/>
    <cellStyle name="Normal 4 4 3 2 2 3 4" xfId="10836" xr:uid="{6CB4F36E-81E3-44ED-9A1B-DB3D1267FC1D}"/>
    <cellStyle name="Normal 4 4 3 2 2 4" xfId="1656" xr:uid="{00000000-0005-0000-0000-00009F060000}"/>
    <cellStyle name="Normal 4 4 3 2 2 4 2" xfId="3886" xr:uid="{00000000-0005-0000-0000-0000550F0000}"/>
    <cellStyle name="Normal 4 4 3 2 2 4 2 2" xfId="8108" xr:uid="{00000000-0005-0000-0000-0000D31F0000}"/>
    <cellStyle name="Normal 4 4 3 2 2 4 2 2 2" xfId="17699" xr:uid="{678F88A4-B4E8-402C-869A-C9A08C8E1E8E}"/>
    <cellStyle name="Normal 4 4 3 2 2 4 2 3" xfId="13478" xr:uid="{6F23065C-F342-48D5-B890-23292FE22461}"/>
    <cellStyle name="Normal 4 4 3 2 2 4 3" xfId="5963" xr:uid="{00000000-0005-0000-0000-000072170000}"/>
    <cellStyle name="Normal 4 4 3 2 2 4 3 2" xfId="15554" xr:uid="{455E54D3-8ADD-4210-B575-D229BAA97EF3}"/>
    <cellStyle name="Normal 4 4 3 2 2 4 4" xfId="11249" xr:uid="{8C4E335A-6EAF-4074-A6DE-1A5476A81EBF}"/>
    <cellStyle name="Normal 4 4 3 2 2 5" xfId="2070" xr:uid="{00000000-0005-0000-0000-00003D080000}"/>
    <cellStyle name="Normal 4 4 3 2 2 5 2" xfId="4299" xr:uid="{00000000-0005-0000-0000-0000F2100000}"/>
    <cellStyle name="Normal 4 4 3 2 2 5 2 2" xfId="8521" xr:uid="{00000000-0005-0000-0000-000070210000}"/>
    <cellStyle name="Normal 4 4 3 2 2 5 2 2 2" xfId="18112" xr:uid="{134CF790-1DD8-455A-B39D-C495C3AE5637}"/>
    <cellStyle name="Normal 4 4 3 2 2 5 2 3" xfId="13891" xr:uid="{25B0F718-30AC-4D88-8D45-4E2A8F6547B7}"/>
    <cellStyle name="Normal 4 4 3 2 2 5 3" xfId="6376" xr:uid="{00000000-0005-0000-0000-00000F190000}"/>
    <cellStyle name="Normal 4 4 3 2 2 5 3 2" xfId="15967" xr:uid="{7DD4AF81-F769-4B4A-B5A6-B126371A1308}"/>
    <cellStyle name="Normal 4 4 3 2 2 5 4" xfId="11662" xr:uid="{03692648-D796-40FA-8E14-8290116897CE}"/>
    <cellStyle name="Normal 4 4 3 2 2 6" xfId="2506" xr:uid="{00000000-0005-0000-0000-0000F1090000}"/>
    <cellStyle name="Normal 4 4 3 2 2 6 2" xfId="6789" xr:uid="{00000000-0005-0000-0000-0000AC1A0000}"/>
    <cellStyle name="Normal 4 4 3 2 2 6 2 2" xfId="16380" xr:uid="{D35090C4-CF23-4214-811F-3F5DF692F9DA}"/>
    <cellStyle name="Normal 4 4 3 2 2 6 3" xfId="12098" xr:uid="{0E752B68-A4E7-4896-8A37-F99DD821FB86}"/>
    <cellStyle name="Normal 4 4 3 2 2 7" xfId="4724" xr:uid="{00000000-0005-0000-0000-00009B120000}"/>
    <cellStyle name="Normal 4 4 3 2 2 7 2" xfId="14315" xr:uid="{B1E9361F-79B6-4524-A448-B8E9E51B1F3C}"/>
    <cellStyle name="Normal 4 4 3 2 2 8" xfId="9094" xr:uid="{00000000-0005-0000-0000-0000AD230000}"/>
    <cellStyle name="Normal 4 4 3 2 2 9" xfId="9952" xr:uid="{EC73993F-6934-4901-8E6D-E0627B483B6B}"/>
    <cellStyle name="Normal 4 4 3 2 3" xfId="824" xr:uid="{00000000-0005-0000-0000-00005F030000}"/>
    <cellStyle name="Normal 4 4 3 2 3 2" xfId="3059" xr:uid="{00000000-0005-0000-0000-00001A0C0000}"/>
    <cellStyle name="Normal 4 4 3 2 3 2 2" xfId="7281" xr:uid="{00000000-0005-0000-0000-0000981C0000}"/>
    <cellStyle name="Normal 4 4 3 2 3 2 2 2" xfId="16872" xr:uid="{DF8E1ACF-47A2-4D29-8C48-F6E9CB42C4C8}"/>
    <cellStyle name="Normal 4 4 3 2 3 2 3" xfId="12651" xr:uid="{8338A023-7AC8-49A1-A079-B93CFD823AB8}"/>
    <cellStyle name="Normal 4 4 3 2 3 3" xfId="5136" xr:uid="{00000000-0005-0000-0000-000037140000}"/>
    <cellStyle name="Normal 4 4 3 2 3 3 2" xfId="14727" xr:uid="{034D7E26-F8F2-479D-A0F3-52C4F564FAB9}"/>
    <cellStyle name="Normal 4 4 3 2 3 4" xfId="9312" xr:uid="{00000000-0005-0000-0000-000087240000}"/>
    <cellStyle name="Normal 4 4 3 2 3 5" xfId="10417" xr:uid="{10C27912-A8B9-4F40-9097-8EF4AEE45638}"/>
    <cellStyle name="Normal 4 4 3 2 4" xfId="1242" xr:uid="{00000000-0005-0000-0000-000001050000}"/>
    <cellStyle name="Normal 4 4 3 2 4 2" xfId="3472" xr:uid="{00000000-0005-0000-0000-0000B70D0000}"/>
    <cellStyle name="Normal 4 4 3 2 4 2 2" xfId="7694" xr:uid="{00000000-0005-0000-0000-0000351E0000}"/>
    <cellStyle name="Normal 4 4 3 2 4 2 2 2" xfId="17285" xr:uid="{0B81284E-D997-4A02-ADA2-C3C8192E2572}"/>
    <cellStyle name="Normal 4 4 3 2 4 2 3" xfId="13064" xr:uid="{92389EF9-4093-4DC4-BBE6-6BA5E4971654}"/>
    <cellStyle name="Normal 4 4 3 2 4 3" xfId="5549" xr:uid="{00000000-0005-0000-0000-0000D4150000}"/>
    <cellStyle name="Normal 4 4 3 2 4 3 2" xfId="15140" xr:uid="{20FB0ECF-C491-44C3-BE32-81AC8EB6F66B}"/>
    <cellStyle name="Normal 4 4 3 2 4 4" xfId="10835" xr:uid="{FB20E074-E4C1-40E3-A4E8-E3E9741503C4}"/>
    <cellStyle name="Normal 4 4 3 2 5" xfId="1655" xr:uid="{00000000-0005-0000-0000-00009E060000}"/>
    <cellStyle name="Normal 4 4 3 2 5 2" xfId="3885" xr:uid="{00000000-0005-0000-0000-0000540F0000}"/>
    <cellStyle name="Normal 4 4 3 2 5 2 2" xfId="8107" xr:uid="{00000000-0005-0000-0000-0000D21F0000}"/>
    <cellStyle name="Normal 4 4 3 2 5 2 2 2" xfId="17698" xr:uid="{04BCFAC9-520C-4576-ABFE-B35AA99BC25C}"/>
    <cellStyle name="Normal 4 4 3 2 5 2 3" xfId="13477" xr:uid="{803CCA4F-E95B-460E-83E5-C7853AF19117}"/>
    <cellStyle name="Normal 4 4 3 2 5 3" xfId="5962" xr:uid="{00000000-0005-0000-0000-000071170000}"/>
    <cellStyle name="Normal 4 4 3 2 5 3 2" xfId="15553" xr:uid="{40206406-20F0-449D-A0CF-18E354A69CA3}"/>
    <cellStyle name="Normal 4 4 3 2 5 4" xfId="11248" xr:uid="{E4C339B3-9DBC-41DA-BAC7-A12D83C443E2}"/>
    <cellStyle name="Normal 4 4 3 2 6" xfId="2069" xr:uid="{00000000-0005-0000-0000-00003C080000}"/>
    <cellStyle name="Normal 4 4 3 2 6 2" xfId="4298" xr:uid="{00000000-0005-0000-0000-0000F1100000}"/>
    <cellStyle name="Normal 4 4 3 2 6 2 2" xfId="8520" xr:uid="{00000000-0005-0000-0000-00006F210000}"/>
    <cellStyle name="Normal 4 4 3 2 6 2 2 2" xfId="18111" xr:uid="{4DE8F263-7B24-4D12-9AAF-FA09063ACBE3}"/>
    <cellStyle name="Normal 4 4 3 2 6 2 3" xfId="13890" xr:uid="{95B0EB29-0F8B-41AE-B263-4C0A98657259}"/>
    <cellStyle name="Normal 4 4 3 2 6 3" xfId="6375" xr:uid="{00000000-0005-0000-0000-00000E190000}"/>
    <cellStyle name="Normal 4 4 3 2 6 3 2" xfId="15966" xr:uid="{53C998EC-0511-4BBE-B56E-9E0A50072F3B}"/>
    <cellStyle name="Normal 4 4 3 2 6 4" xfId="11661" xr:uid="{4976A72E-0874-49BA-A05F-0EDD06E73264}"/>
    <cellStyle name="Normal 4 4 3 2 7" xfId="2505" xr:uid="{00000000-0005-0000-0000-0000F0090000}"/>
    <cellStyle name="Normal 4 4 3 2 7 2" xfId="6788" xr:uid="{00000000-0005-0000-0000-0000AB1A0000}"/>
    <cellStyle name="Normal 4 4 3 2 7 2 2" xfId="16379" xr:uid="{E64D9BFA-9F33-40BD-BFEA-7323E527C779}"/>
    <cellStyle name="Normal 4 4 3 2 7 3" xfId="12097" xr:uid="{9A72BECF-BCDF-45B8-B769-8B9604A7F4A7}"/>
    <cellStyle name="Normal 4 4 3 2 8" xfId="4723" xr:uid="{00000000-0005-0000-0000-00009A120000}"/>
    <cellStyle name="Normal 4 4 3 2 8 2" xfId="14314" xr:uid="{CD316031-0706-426D-9001-D5199870A454}"/>
    <cellStyle name="Normal 4 4 3 2 9" xfId="8887" xr:uid="{00000000-0005-0000-0000-0000DE220000}"/>
    <cellStyle name="Normal 4 4 3 3" xfId="354" xr:uid="{00000000-0005-0000-0000-000086010000}"/>
    <cellStyle name="Normal 4 4 3 3 2" xfId="826" xr:uid="{00000000-0005-0000-0000-000061030000}"/>
    <cellStyle name="Normal 4 4 3 3 2 2" xfId="3061" xr:uid="{00000000-0005-0000-0000-00001C0C0000}"/>
    <cellStyle name="Normal 4 4 3 3 2 2 2" xfId="7283" xr:uid="{00000000-0005-0000-0000-00009A1C0000}"/>
    <cellStyle name="Normal 4 4 3 3 2 2 2 2" xfId="16874" xr:uid="{B1161096-B730-42DE-8466-AEB4CB03FA5B}"/>
    <cellStyle name="Normal 4 4 3 3 2 2 3" xfId="12653" xr:uid="{C9E621CE-B2B1-43AA-A289-C82D7143E2CF}"/>
    <cellStyle name="Normal 4 4 3 3 2 3" xfId="5138" xr:uid="{00000000-0005-0000-0000-000039140000}"/>
    <cellStyle name="Normal 4 4 3 3 2 3 2" xfId="14729" xr:uid="{9F0D42D4-CBB8-4F3D-B3FA-4C09A500187A}"/>
    <cellStyle name="Normal 4 4 3 3 2 4" xfId="9416" xr:uid="{00000000-0005-0000-0000-0000EF240000}"/>
    <cellStyle name="Normal 4 4 3 3 2 5" xfId="10419" xr:uid="{0FCB2CF1-1EAE-4227-8FEE-3F4CF4467187}"/>
    <cellStyle name="Normal 4 4 3 3 3" xfId="1244" xr:uid="{00000000-0005-0000-0000-000003050000}"/>
    <cellStyle name="Normal 4 4 3 3 3 2" xfId="3474" xr:uid="{00000000-0005-0000-0000-0000B90D0000}"/>
    <cellStyle name="Normal 4 4 3 3 3 2 2" xfId="7696" xr:uid="{00000000-0005-0000-0000-0000371E0000}"/>
    <cellStyle name="Normal 4 4 3 3 3 2 2 2" xfId="17287" xr:uid="{EEAC7A2C-1678-4240-BD90-BF5094235351}"/>
    <cellStyle name="Normal 4 4 3 3 3 2 3" xfId="13066" xr:uid="{218D86C5-13EC-4692-AF93-2F8FDE8A2929}"/>
    <cellStyle name="Normal 4 4 3 3 3 3" xfId="5551" xr:uid="{00000000-0005-0000-0000-0000D6150000}"/>
    <cellStyle name="Normal 4 4 3 3 3 3 2" xfId="15142" xr:uid="{A478B013-76CE-4D4E-8DF0-1A4D22A7A6FB}"/>
    <cellStyle name="Normal 4 4 3 3 3 4" xfId="10837" xr:uid="{7C6210AE-0C0F-4147-96C2-28E35F5FFF09}"/>
    <cellStyle name="Normal 4 4 3 3 4" xfId="1657" xr:uid="{00000000-0005-0000-0000-0000A0060000}"/>
    <cellStyle name="Normal 4 4 3 3 4 2" xfId="3887" xr:uid="{00000000-0005-0000-0000-0000560F0000}"/>
    <cellStyle name="Normal 4 4 3 3 4 2 2" xfId="8109" xr:uid="{00000000-0005-0000-0000-0000D41F0000}"/>
    <cellStyle name="Normal 4 4 3 3 4 2 2 2" xfId="17700" xr:uid="{AC4A5463-879C-48FC-B72B-A2713D14965D}"/>
    <cellStyle name="Normal 4 4 3 3 4 2 3" xfId="13479" xr:uid="{A1761BCD-5620-4F51-95F4-BFE10F1A16BC}"/>
    <cellStyle name="Normal 4 4 3 3 4 3" xfId="5964" xr:uid="{00000000-0005-0000-0000-000073170000}"/>
    <cellStyle name="Normal 4 4 3 3 4 3 2" xfId="15555" xr:uid="{726121E7-0BBC-4CFA-A966-DDE69FFBA9DA}"/>
    <cellStyle name="Normal 4 4 3 3 4 4" xfId="11250" xr:uid="{B6D2CDC3-751E-4492-A7BD-508CBF33C562}"/>
    <cellStyle name="Normal 4 4 3 3 5" xfId="2071" xr:uid="{00000000-0005-0000-0000-00003E080000}"/>
    <cellStyle name="Normal 4 4 3 3 5 2" xfId="4300" xr:uid="{00000000-0005-0000-0000-0000F3100000}"/>
    <cellStyle name="Normal 4 4 3 3 5 2 2" xfId="8522" xr:uid="{00000000-0005-0000-0000-000071210000}"/>
    <cellStyle name="Normal 4 4 3 3 5 2 2 2" xfId="18113" xr:uid="{5063BDAA-C56B-4F0B-8BD4-C92E3CF84B67}"/>
    <cellStyle name="Normal 4 4 3 3 5 2 3" xfId="13892" xr:uid="{AA78694A-9A96-403C-BB5D-BCACC796B5D8}"/>
    <cellStyle name="Normal 4 4 3 3 5 3" xfId="6377" xr:uid="{00000000-0005-0000-0000-000010190000}"/>
    <cellStyle name="Normal 4 4 3 3 5 3 2" xfId="15968" xr:uid="{E7AC3943-347B-4AF8-AB5B-53511787166A}"/>
    <cellStyle name="Normal 4 4 3 3 5 4" xfId="11663" xr:uid="{CA62D6C0-D230-429A-AAE6-EA0FC6CF8DDA}"/>
    <cellStyle name="Normal 4 4 3 3 6" xfId="2507" xr:uid="{00000000-0005-0000-0000-0000F2090000}"/>
    <cellStyle name="Normal 4 4 3 3 6 2" xfId="6790" xr:uid="{00000000-0005-0000-0000-0000AD1A0000}"/>
    <cellStyle name="Normal 4 4 3 3 6 2 2" xfId="16381" xr:uid="{A0CDE2CA-E1DF-429D-84D6-0BD5A610DE20}"/>
    <cellStyle name="Normal 4 4 3 3 6 3" xfId="12099" xr:uid="{D6B3BFB6-0CAC-4EF9-B6BA-3469A3642038}"/>
    <cellStyle name="Normal 4 4 3 3 7" xfId="4725" xr:uid="{00000000-0005-0000-0000-00009C120000}"/>
    <cellStyle name="Normal 4 4 3 3 7 2" xfId="14316" xr:uid="{B7962FE3-99A0-4259-A3F0-C36D4D5A73FF}"/>
    <cellStyle name="Normal 4 4 3 3 8" xfId="8991" xr:uid="{00000000-0005-0000-0000-000046230000}"/>
    <cellStyle name="Normal 4 4 3 3 9" xfId="9953" xr:uid="{610F0C79-454E-493B-B6F4-6F12ABBE30E5}"/>
    <cellStyle name="Normal 4 4 3 4" xfId="823" xr:uid="{00000000-0005-0000-0000-00005E030000}"/>
    <cellStyle name="Normal 4 4 3 4 2" xfId="3058" xr:uid="{00000000-0005-0000-0000-0000190C0000}"/>
    <cellStyle name="Normal 4 4 3 4 2 2" xfId="7280" xr:uid="{00000000-0005-0000-0000-0000971C0000}"/>
    <cellStyle name="Normal 4 4 3 4 2 2 2" xfId="16871" xr:uid="{B3A48F7A-93C1-4B5B-9679-56273C28B135}"/>
    <cellStyle name="Normal 4 4 3 4 2 3" xfId="12650" xr:uid="{9668839A-D59D-4E14-BCDC-684BA57AEEAC}"/>
    <cellStyle name="Normal 4 4 3 4 3" xfId="5135" xr:uid="{00000000-0005-0000-0000-000036140000}"/>
    <cellStyle name="Normal 4 4 3 4 3 2" xfId="14726" xr:uid="{45D2A3AD-9F55-470F-B422-117E0E3F535A}"/>
    <cellStyle name="Normal 4 4 3 4 4" xfId="9209" xr:uid="{00000000-0005-0000-0000-000020240000}"/>
    <cellStyle name="Normal 4 4 3 4 5" xfId="10416" xr:uid="{1DDE9AEA-24DF-4413-A557-EE86EFC2FE3F}"/>
    <cellStyle name="Normal 4 4 3 5" xfId="1241" xr:uid="{00000000-0005-0000-0000-000000050000}"/>
    <cellStyle name="Normal 4 4 3 5 2" xfId="3471" xr:uid="{00000000-0005-0000-0000-0000B60D0000}"/>
    <cellStyle name="Normal 4 4 3 5 2 2" xfId="7693" xr:uid="{00000000-0005-0000-0000-0000341E0000}"/>
    <cellStyle name="Normal 4 4 3 5 2 2 2" xfId="17284" xr:uid="{7FC4FF53-1E24-4B6B-9437-F0D74C04A6C1}"/>
    <cellStyle name="Normal 4 4 3 5 2 3" xfId="13063" xr:uid="{3E3D749A-79CD-4EE4-BA46-92ACCC42EBCA}"/>
    <cellStyle name="Normal 4 4 3 5 3" xfId="5548" xr:uid="{00000000-0005-0000-0000-0000D3150000}"/>
    <cellStyle name="Normal 4 4 3 5 3 2" xfId="15139" xr:uid="{18678C34-8376-457D-8E0F-BC711FF359A9}"/>
    <cellStyle name="Normal 4 4 3 5 4" xfId="10834" xr:uid="{A127F625-3CA1-4545-A116-5CB44A406901}"/>
    <cellStyle name="Normal 4 4 3 6" xfId="1654" xr:uid="{00000000-0005-0000-0000-00009D060000}"/>
    <cellStyle name="Normal 4 4 3 6 2" xfId="3884" xr:uid="{00000000-0005-0000-0000-0000530F0000}"/>
    <cellStyle name="Normal 4 4 3 6 2 2" xfId="8106" xr:uid="{00000000-0005-0000-0000-0000D11F0000}"/>
    <cellStyle name="Normal 4 4 3 6 2 2 2" xfId="17697" xr:uid="{631EC7B9-B663-4E41-856C-446FF233B10D}"/>
    <cellStyle name="Normal 4 4 3 6 2 3" xfId="13476" xr:uid="{556DC142-EB63-4CAB-A9FE-7B8636A04786}"/>
    <cellStyle name="Normal 4 4 3 6 3" xfId="5961" xr:uid="{00000000-0005-0000-0000-000070170000}"/>
    <cellStyle name="Normal 4 4 3 6 3 2" xfId="15552" xr:uid="{144500AA-1D69-47F9-B1B0-9771940A487E}"/>
    <cellStyle name="Normal 4 4 3 6 4" xfId="11247" xr:uid="{959E7B58-0A24-4950-9027-BC8A8E997074}"/>
    <cellStyle name="Normal 4 4 3 7" xfId="2068" xr:uid="{00000000-0005-0000-0000-00003B080000}"/>
    <cellStyle name="Normal 4 4 3 7 2" xfId="4297" xr:uid="{00000000-0005-0000-0000-0000F0100000}"/>
    <cellStyle name="Normal 4 4 3 7 2 2" xfId="8519" xr:uid="{00000000-0005-0000-0000-00006E210000}"/>
    <cellStyle name="Normal 4 4 3 7 2 2 2" xfId="18110" xr:uid="{31042EBB-8698-406B-B4C8-037BF93B52FA}"/>
    <cellStyle name="Normal 4 4 3 7 2 3" xfId="13889" xr:uid="{93D6DFFC-0C3F-47B9-9151-8249FD7BC6DC}"/>
    <cellStyle name="Normal 4 4 3 7 3" xfId="6374" xr:uid="{00000000-0005-0000-0000-00000D190000}"/>
    <cellStyle name="Normal 4 4 3 7 3 2" xfId="15965" xr:uid="{992AD2FA-6999-4311-B511-2EA4301D855E}"/>
    <cellStyle name="Normal 4 4 3 7 4" xfId="11660" xr:uid="{5F996FCC-1659-4EA8-8320-C0F1AA0D0DBA}"/>
    <cellStyle name="Normal 4 4 3 8" xfId="2504" xr:uid="{00000000-0005-0000-0000-0000EF090000}"/>
    <cellStyle name="Normal 4 4 3 8 2" xfId="6787" xr:uid="{00000000-0005-0000-0000-0000AA1A0000}"/>
    <cellStyle name="Normal 4 4 3 8 2 2" xfId="16378" xr:uid="{C39653DF-E6E9-40BD-8A21-A8F716B83B47}"/>
    <cellStyle name="Normal 4 4 3 8 3" xfId="12096" xr:uid="{174656D5-8401-4362-8342-6211085EC4CD}"/>
    <cellStyle name="Normal 4 4 3 9" xfId="4722" xr:uid="{00000000-0005-0000-0000-000099120000}"/>
    <cellStyle name="Normal 4 4 3 9 2" xfId="14313" xr:uid="{F1521867-15FB-4FC1-B66F-F1265A324003}"/>
    <cellStyle name="Normal 4 4 4" xfId="355" xr:uid="{00000000-0005-0000-0000-000087010000}"/>
    <cellStyle name="Normal 4 4 4 10" xfId="9954" xr:uid="{45317A54-6AF6-4F71-9316-F9B15AD38716}"/>
    <cellStyle name="Normal 4 4 4 2" xfId="356" xr:uid="{00000000-0005-0000-0000-000088010000}"/>
    <cellStyle name="Normal 4 4 4 2 2" xfId="828" xr:uid="{00000000-0005-0000-0000-000063030000}"/>
    <cellStyle name="Normal 4 4 4 2 2 2" xfId="3063" xr:uid="{00000000-0005-0000-0000-00001E0C0000}"/>
    <cellStyle name="Normal 4 4 4 2 2 2 2" xfId="7285" xr:uid="{00000000-0005-0000-0000-00009C1C0000}"/>
    <cellStyle name="Normal 4 4 4 2 2 2 2 2" xfId="16876" xr:uid="{40B334C9-FB79-4DF3-91EC-FCF9815A3C8C}"/>
    <cellStyle name="Normal 4 4 4 2 2 2 3" xfId="12655" xr:uid="{5D4CBBD5-C1BC-4E7D-8C13-8AA298D38F69}"/>
    <cellStyle name="Normal 4 4 4 2 2 3" xfId="5140" xr:uid="{00000000-0005-0000-0000-00003B140000}"/>
    <cellStyle name="Normal 4 4 4 2 2 3 2" xfId="14731" xr:uid="{49CAED28-F4A9-49CD-B986-69EEF58AFBCE}"/>
    <cellStyle name="Normal 4 4 4 2 2 4" xfId="9445" xr:uid="{00000000-0005-0000-0000-00000C250000}"/>
    <cellStyle name="Normal 4 4 4 2 2 5" xfId="10421" xr:uid="{1E17401A-1DD5-482C-9384-8C712F324485}"/>
    <cellStyle name="Normal 4 4 4 2 3" xfId="1246" xr:uid="{00000000-0005-0000-0000-000005050000}"/>
    <cellStyle name="Normal 4 4 4 2 3 2" xfId="3476" xr:uid="{00000000-0005-0000-0000-0000BB0D0000}"/>
    <cellStyle name="Normal 4 4 4 2 3 2 2" xfId="7698" xr:uid="{00000000-0005-0000-0000-0000391E0000}"/>
    <cellStyle name="Normal 4 4 4 2 3 2 2 2" xfId="17289" xr:uid="{C31D514D-68ED-4756-8578-0EFF49728C63}"/>
    <cellStyle name="Normal 4 4 4 2 3 2 3" xfId="13068" xr:uid="{8D342695-3C3D-4045-A176-E85B9A333FD3}"/>
    <cellStyle name="Normal 4 4 4 2 3 3" xfId="5553" xr:uid="{00000000-0005-0000-0000-0000D8150000}"/>
    <cellStyle name="Normal 4 4 4 2 3 3 2" xfId="15144" xr:uid="{13450DD3-8B90-461C-A003-EB2542518AA9}"/>
    <cellStyle name="Normal 4 4 4 2 3 4" xfId="10839" xr:uid="{F71718F7-A1AE-4BF6-922F-23A6ED0DC3C3}"/>
    <cellStyle name="Normal 4 4 4 2 4" xfId="1659" xr:uid="{00000000-0005-0000-0000-0000A2060000}"/>
    <cellStyle name="Normal 4 4 4 2 4 2" xfId="3889" xr:uid="{00000000-0005-0000-0000-0000580F0000}"/>
    <cellStyle name="Normal 4 4 4 2 4 2 2" xfId="8111" xr:uid="{00000000-0005-0000-0000-0000D61F0000}"/>
    <cellStyle name="Normal 4 4 4 2 4 2 2 2" xfId="17702" xr:uid="{826E808B-DE8D-48F9-BE7F-AE5959AFB09A}"/>
    <cellStyle name="Normal 4 4 4 2 4 2 3" xfId="13481" xr:uid="{6A51A1EC-7023-42F0-B3CA-B460D611062D}"/>
    <cellStyle name="Normal 4 4 4 2 4 3" xfId="5966" xr:uid="{00000000-0005-0000-0000-000075170000}"/>
    <cellStyle name="Normal 4 4 4 2 4 3 2" xfId="15557" xr:uid="{5E4A81BC-0429-4A73-BC28-A58BD7AC3D75}"/>
    <cellStyle name="Normal 4 4 4 2 4 4" xfId="11252" xr:uid="{0A6E8F24-8D84-4997-BE7B-A5F4611C6D9A}"/>
    <cellStyle name="Normal 4 4 4 2 5" xfId="2073" xr:uid="{00000000-0005-0000-0000-000040080000}"/>
    <cellStyle name="Normal 4 4 4 2 5 2" xfId="4302" xr:uid="{00000000-0005-0000-0000-0000F5100000}"/>
    <cellStyle name="Normal 4 4 4 2 5 2 2" xfId="8524" xr:uid="{00000000-0005-0000-0000-000073210000}"/>
    <cellStyle name="Normal 4 4 4 2 5 2 2 2" xfId="18115" xr:uid="{3C8A3D45-3874-4B27-9DF1-260EE58DBA94}"/>
    <cellStyle name="Normal 4 4 4 2 5 2 3" xfId="13894" xr:uid="{69D000B5-08FB-4632-B987-B96245AC4073}"/>
    <cellStyle name="Normal 4 4 4 2 5 3" xfId="6379" xr:uid="{00000000-0005-0000-0000-000012190000}"/>
    <cellStyle name="Normal 4 4 4 2 5 3 2" xfId="15970" xr:uid="{7E21E14C-2A65-43B1-969E-306BC4F201CA}"/>
    <cellStyle name="Normal 4 4 4 2 5 4" xfId="11665" xr:uid="{E5883833-73B7-47D6-9862-591C99EB1B33}"/>
    <cellStyle name="Normal 4 4 4 2 6" xfId="2509" xr:uid="{00000000-0005-0000-0000-0000F4090000}"/>
    <cellStyle name="Normal 4 4 4 2 6 2" xfId="6792" xr:uid="{00000000-0005-0000-0000-0000AF1A0000}"/>
    <cellStyle name="Normal 4 4 4 2 6 2 2" xfId="16383" xr:uid="{724ECA9C-E288-40DC-A60D-A14D230849EB}"/>
    <cellStyle name="Normal 4 4 4 2 6 3" xfId="12101" xr:uid="{83FAFC4E-D7A9-41C1-A69C-37463EFF0083}"/>
    <cellStyle name="Normal 4 4 4 2 7" xfId="4727" xr:uid="{00000000-0005-0000-0000-00009E120000}"/>
    <cellStyle name="Normal 4 4 4 2 7 2" xfId="14318" xr:uid="{FD3F66BD-DEEF-48A5-A447-60F4A1F25DB6}"/>
    <cellStyle name="Normal 4 4 4 2 8" xfId="9020" xr:uid="{00000000-0005-0000-0000-000063230000}"/>
    <cellStyle name="Normal 4 4 4 2 9" xfId="9955" xr:uid="{439220C3-732D-4582-9977-FC73351A5A4A}"/>
    <cellStyle name="Normal 4 4 4 3" xfId="827" xr:uid="{00000000-0005-0000-0000-000062030000}"/>
    <cellStyle name="Normal 4 4 4 3 2" xfId="3062" xr:uid="{00000000-0005-0000-0000-00001D0C0000}"/>
    <cellStyle name="Normal 4 4 4 3 2 2" xfId="7284" xr:uid="{00000000-0005-0000-0000-00009B1C0000}"/>
    <cellStyle name="Normal 4 4 4 3 2 2 2" xfId="16875" xr:uid="{9CB5678B-AE9A-4F8F-88F1-2968DC50E1C6}"/>
    <cellStyle name="Normal 4 4 4 3 2 3" xfId="12654" xr:uid="{96C9107C-D39A-4E81-8D05-93DDA5081EB7}"/>
    <cellStyle name="Normal 4 4 4 3 3" xfId="5139" xr:uid="{00000000-0005-0000-0000-00003A140000}"/>
    <cellStyle name="Normal 4 4 4 3 3 2" xfId="14730" xr:uid="{F06056A7-65A1-4715-A9E1-B50739049A5A}"/>
    <cellStyle name="Normal 4 4 4 3 4" xfId="9238" xr:uid="{00000000-0005-0000-0000-00003D240000}"/>
    <cellStyle name="Normal 4 4 4 3 5" xfId="10420" xr:uid="{BBC0410A-2011-4B9D-A688-B941715DDABC}"/>
    <cellStyle name="Normal 4 4 4 4" xfId="1245" xr:uid="{00000000-0005-0000-0000-000004050000}"/>
    <cellStyle name="Normal 4 4 4 4 2" xfId="3475" xr:uid="{00000000-0005-0000-0000-0000BA0D0000}"/>
    <cellStyle name="Normal 4 4 4 4 2 2" xfId="7697" xr:uid="{00000000-0005-0000-0000-0000381E0000}"/>
    <cellStyle name="Normal 4 4 4 4 2 2 2" xfId="17288" xr:uid="{325B2656-DF95-4A75-966C-F83923791ED0}"/>
    <cellStyle name="Normal 4 4 4 4 2 3" xfId="13067" xr:uid="{3718F908-AC1A-4283-9EBC-43E0F893E8D4}"/>
    <cellStyle name="Normal 4 4 4 4 3" xfId="5552" xr:uid="{00000000-0005-0000-0000-0000D7150000}"/>
    <cellStyle name="Normal 4 4 4 4 3 2" xfId="15143" xr:uid="{19758BA0-E7BF-4DA6-8608-C3AE97706286}"/>
    <cellStyle name="Normal 4 4 4 4 4" xfId="10838" xr:uid="{135C2D71-3797-4DD1-9288-A012E11C7121}"/>
    <cellStyle name="Normal 4 4 4 5" xfId="1658" xr:uid="{00000000-0005-0000-0000-0000A1060000}"/>
    <cellStyle name="Normal 4 4 4 5 2" xfId="3888" xr:uid="{00000000-0005-0000-0000-0000570F0000}"/>
    <cellStyle name="Normal 4 4 4 5 2 2" xfId="8110" xr:uid="{00000000-0005-0000-0000-0000D51F0000}"/>
    <cellStyle name="Normal 4 4 4 5 2 2 2" xfId="17701" xr:uid="{202AD3F5-D526-4C36-AADE-D09CCA7A0C6E}"/>
    <cellStyle name="Normal 4 4 4 5 2 3" xfId="13480" xr:uid="{2B31940A-237D-4979-A4A4-A04E167127CA}"/>
    <cellStyle name="Normal 4 4 4 5 3" xfId="5965" xr:uid="{00000000-0005-0000-0000-000074170000}"/>
    <cellStyle name="Normal 4 4 4 5 3 2" xfId="15556" xr:uid="{FF53B11C-4433-4A71-861A-19DE8F14E909}"/>
    <cellStyle name="Normal 4 4 4 5 4" xfId="11251" xr:uid="{359ACD03-754C-4CED-914D-94571E013D79}"/>
    <cellStyle name="Normal 4 4 4 6" xfId="2072" xr:uid="{00000000-0005-0000-0000-00003F080000}"/>
    <cellStyle name="Normal 4 4 4 6 2" xfId="4301" xr:uid="{00000000-0005-0000-0000-0000F4100000}"/>
    <cellStyle name="Normal 4 4 4 6 2 2" xfId="8523" xr:uid="{00000000-0005-0000-0000-000072210000}"/>
    <cellStyle name="Normal 4 4 4 6 2 2 2" xfId="18114" xr:uid="{2B359894-537E-4886-9A1F-313A6E5C767E}"/>
    <cellStyle name="Normal 4 4 4 6 2 3" xfId="13893" xr:uid="{B1249254-A35A-4181-8D0F-993CF87A91D7}"/>
    <cellStyle name="Normal 4 4 4 6 3" xfId="6378" xr:uid="{00000000-0005-0000-0000-000011190000}"/>
    <cellStyle name="Normal 4 4 4 6 3 2" xfId="15969" xr:uid="{F6776D61-F24C-4DF3-8D3E-521E94803EBC}"/>
    <cellStyle name="Normal 4 4 4 6 4" xfId="11664" xr:uid="{1E434256-70D2-41D3-9B54-B02E8DEC84FF}"/>
    <cellStyle name="Normal 4 4 4 7" xfId="2508" xr:uid="{00000000-0005-0000-0000-0000F3090000}"/>
    <cellStyle name="Normal 4 4 4 7 2" xfId="6791" xr:uid="{00000000-0005-0000-0000-0000AE1A0000}"/>
    <cellStyle name="Normal 4 4 4 7 2 2" xfId="16382" xr:uid="{E2DBF0A7-A9FC-4EC8-89CC-16E01E9F586D}"/>
    <cellStyle name="Normal 4 4 4 7 3" xfId="12100" xr:uid="{FD1706F6-0B4A-461F-A1FA-31729E075D23}"/>
    <cellStyle name="Normal 4 4 4 8" xfId="4726" xr:uid="{00000000-0005-0000-0000-00009D120000}"/>
    <cellStyle name="Normal 4 4 4 8 2" xfId="14317" xr:uid="{9F577C51-1730-4C83-80AE-F9A001F2A1B9}"/>
    <cellStyle name="Normal 4 4 4 9" xfId="8813" xr:uid="{00000000-0005-0000-0000-000094220000}"/>
    <cellStyle name="Normal 4 4 5" xfId="357" xr:uid="{00000000-0005-0000-0000-000089010000}"/>
    <cellStyle name="Normal 4 4 5 2" xfId="829" xr:uid="{00000000-0005-0000-0000-000064030000}"/>
    <cellStyle name="Normal 4 4 5 2 2" xfId="3064" xr:uid="{00000000-0005-0000-0000-00001F0C0000}"/>
    <cellStyle name="Normal 4 4 5 2 2 2" xfId="7286" xr:uid="{00000000-0005-0000-0000-00009D1C0000}"/>
    <cellStyle name="Normal 4 4 5 2 2 2 2" xfId="16877" xr:uid="{7C7470D8-6E60-4750-AD55-5FE9D312D548}"/>
    <cellStyle name="Normal 4 4 5 2 2 3" xfId="12656" xr:uid="{866B13D0-75FE-4E65-AA75-3242E5CF3B78}"/>
    <cellStyle name="Normal 4 4 5 2 3" xfId="5141" xr:uid="{00000000-0005-0000-0000-00003C140000}"/>
    <cellStyle name="Normal 4 4 5 2 3 2" xfId="14732" xr:uid="{F006B902-DBA6-4D94-B085-F75FA81B60B4}"/>
    <cellStyle name="Normal 4 4 5 2 4" xfId="9354" xr:uid="{00000000-0005-0000-0000-0000B1240000}"/>
    <cellStyle name="Normal 4 4 5 2 5" xfId="10422" xr:uid="{9FE0F27A-0710-4B23-A243-F6F3C1682594}"/>
    <cellStyle name="Normal 4 4 5 3" xfId="1247" xr:uid="{00000000-0005-0000-0000-000006050000}"/>
    <cellStyle name="Normal 4 4 5 3 2" xfId="3477" xr:uid="{00000000-0005-0000-0000-0000BC0D0000}"/>
    <cellStyle name="Normal 4 4 5 3 2 2" xfId="7699" xr:uid="{00000000-0005-0000-0000-00003A1E0000}"/>
    <cellStyle name="Normal 4 4 5 3 2 2 2" xfId="17290" xr:uid="{3F5026C3-865D-4AD2-AE5C-01E07F52D61A}"/>
    <cellStyle name="Normal 4 4 5 3 2 3" xfId="13069" xr:uid="{DD3A68E3-BF2E-4B7D-8A4C-D1BD7B469BFF}"/>
    <cellStyle name="Normal 4 4 5 3 3" xfId="5554" xr:uid="{00000000-0005-0000-0000-0000D9150000}"/>
    <cellStyle name="Normal 4 4 5 3 3 2" xfId="15145" xr:uid="{D5D118AC-A85E-4BC8-95D6-2AAB794C089A}"/>
    <cellStyle name="Normal 4 4 5 3 4" xfId="10840" xr:uid="{4B2E7498-5CA0-4172-BD6B-EB8968AA38DA}"/>
    <cellStyle name="Normal 4 4 5 4" xfId="1660" xr:uid="{00000000-0005-0000-0000-0000A3060000}"/>
    <cellStyle name="Normal 4 4 5 4 2" xfId="3890" xr:uid="{00000000-0005-0000-0000-0000590F0000}"/>
    <cellStyle name="Normal 4 4 5 4 2 2" xfId="8112" xr:uid="{00000000-0005-0000-0000-0000D71F0000}"/>
    <cellStyle name="Normal 4 4 5 4 2 2 2" xfId="17703" xr:uid="{0074062E-24E2-481D-9154-02800E84890B}"/>
    <cellStyle name="Normal 4 4 5 4 2 3" xfId="13482" xr:uid="{843D14D7-9D1B-4682-BB0E-692388EDBC9C}"/>
    <cellStyle name="Normal 4 4 5 4 3" xfId="5967" xr:uid="{00000000-0005-0000-0000-000076170000}"/>
    <cellStyle name="Normal 4 4 5 4 3 2" xfId="15558" xr:uid="{AE875D41-549F-4BF2-8C10-5A48377357C5}"/>
    <cellStyle name="Normal 4 4 5 4 4" xfId="11253" xr:uid="{E5995508-A595-40C9-A2E2-08D925029F7D}"/>
    <cellStyle name="Normal 4 4 5 5" xfId="2074" xr:uid="{00000000-0005-0000-0000-000041080000}"/>
    <cellStyle name="Normal 4 4 5 5 2" xfId="4303" xr:uid="{00000000-0005-0000-0000-0000F6100000}"/>
    <cellStyle name="Normal 4 4 5 5 2 2" xfId="8525" xr:uid="{00000000-0005-0000-0000-000074210000}"/>
    <cellStyle name="Normal 4 4 5 5 2 2 2" xfId="18116" xr:uid="{2ACC4849-3569-4EED-9984-E77EF3889205}"/>
    <cellStyle name="Normal 4 4 5 5 2 3" xfId="13895" xr:uid="{748D4E79-BD64-4BC6-8E7F-F55147AF9628}"/>
    <cellStyle name="Normal 4 4 5 5 3" xfId="6380" xr:uid="{00000000-0005-0000-0000-000013190000}"/>
    <cellStyle name="Normal 4 4 5 5 3 2" xfId="15971" xr:uid="{F1A2AA9E-6C13-44B7-ABDF-D9FA9994C0E6}"/>
    <cellStyle name="Normal 4 4 5 5 4" xfId="11666" xr:uid="{2154E173-0F1E-435B-AE23-0406510723C8}"/>
    <cellStyle name="Normal 4 4 5 6" xfId="2510" xr:uid="{00000000-0005-0000-0000-0000F5090000}"/>
    <cellStyle name="Normal 4 4 5 6 2" xfId="6793" xr:uid="{00000000-0005-0000-0000-0000B01A0000}"/>
    <cellStyle name="Normal 4 4 5 6 2 2" xfId="16384" xr:uid="{3BDB62E7-AAE7-42D5-A53E-2EBBBA00CE54}"/>
    <cellStyle name="Normal 4 4 5 6 3" xfId="12102" xr:uid="{43EAFB14-A007-475B-9634-F7D239BDABE2}"/>
    <cellStyle name="Normal 4 4 5 7" xfId="4728" xr:uid="{00000000-0005-0000-0000-00009F120000}"/>
    <cellStyle name="Normal 4 4 5 7 2" xfId="14319" xr:uid="{A807875A-8A84-4543-A7CE-09F9C6339951}"/>
    <cellStyle name="Normal 4 4 5 8" xfId="8929" xr:uid="{00000000-0005-0000-0000-000008230000}"/>
    <cellStyle name="Normal 4 4 5 9" xfId="9956" xr:uid="{219B3FCF-35D2-425C-8600-07F20561DE4C}"/>
    <cellStyle name="Normal 4 4 6" xfId="814" xr:uid="{00000000-0005-0000-0000-000055030000}"/>
    <cellStyle name="Normal 4 4 6 2" xfId="3049" xr:uid="{00000000-0005-0000-0000-0000100C0000}"/>
    <cellStyle name="Normal 4 4 6 2 2" xfId="7271" xr:uid="{00000000-0005-0000-0000-00008E1C0000}"/>
    <cellStyle name="Normal 4 4 6 2 2 2" xfId="16862" xr:uid="{11F9A4C8-E92F-4CF2-BA7B-BB3A06CFBD37}"/>
    <cellStyle name="Normal 4 4 6 2 3" xfId="12641" xr:uid="{A1385EC6-E677-41ED-989B-394A6E8D2CAE}"/>
    <cellStyle name="Normal 4 4 6 3" xfId="5126" xr:uid="{00000000-0005-0000-0000-00002D140000}"/>
    <cellStyle name="Normal 4 4 6 3 2" xfId="14717" xr:uid="{77082921-9C96-4B23-BD4F-80AF543F543B}"/>
    <cellStyle name="Normal 4 4 6 4" xfId="9132" xr:uid="{00000000-0005-0000-0000-0000D3230000}"/>
    <cellStyle name="Normal 4 4 6 5" xfId="10407" xr:uid="{1E688BC8-68C5-4279-BD63-2BF59EE75AA8}"/>
    <cellStyle name="Normal 4 4 7" xfId="1232" xr:uid="{00000000-0005-0000-0000-0000F7040000}"/>
    <cellStyle name="Normal 4 4 7 2" xfId="3462" xr:uid="{00000000-0005-0000-0000-0000AD0D0000}"/>
    <cellStyle name="Normal 4 4 7 2 2" xfId="7684" xr:uid="{00000000-0005-0000-0000-00002B1E0000}"/>
    <cellStyle name="Normal 4 4 7 2 2 2" xfId="17275" xr:uid="{ADCC9C88-44C0-4DFA-A19F-F20A88E39606}"/>
    <cellStyle name="Normal 4 4 7 2 3" xfId="13054" xr:uid="{52CC0E9C-425E-46F5-98A5-A9A419776AFA}"/>
    <cellStyle name="Normal 4 4 7 3" xfId="5539" xr:uid="{00000000-0005-0000-0000-0000CA150000}"/>
    <cellStyle name="Normal 4 4 7 3 2" xfId="15130" xr:uid="{6BEF604D-170A-47FD-B119-9DBF66F8F7EE}"/>
    <cellStyle name="Normal 4 4 7 4" xfId="10825" xr:uid="{8BD90D6D-7775-434F-8FC2-835A6F0D18CA}"/>
    <cellStyle name="Normal 4 4 8" xfId="1645" xr:uid="{00000000-0005-0000-0000-000094060000}"/>
    <cellStyle name="Normal 4 4 8 2" xfId="3875" xr:uid="{00000000-0005-0000-0000-00004A0F0000}"/>
    <cellStyle name="Normal 4 4 8 2 2" xfId="8097" xr:uid="{00000000-0005-0000-0000-0000C81F0000}"/>
    <cellStyle name="Normal 4 4 8 2 2 2" xfId="17688" xr:uid="{94F74C68-C41D-4660-87DD-36875D740B96}"/>
    <cellStyle name="Normal 4 4 8 2 3" xfId="13467" xr:uid="{03357B7F-282E-4AD9-AF55-689AAD6B2F67}"/>
    <cellStyle name="Normal 4 4 8 3" xfId="5952" xr:uid="{00000000-0005-0000-0000-000067170000}"/>
    <cellStyle name="Normal 4 4 8 3 2" xfId="15543" xr:uid="{6DEB85CF-12AD-44CA-AC0A-1EBD6AC38826}"/>
    <cellStyle name="Normal 4 4 8 4" xfId="11238" xr:uid="{CDED6557-0B42-4FB0-8873-5CD81280CCA6}"/>
    <cellStyle name="Normal 4 4 9" xfId="2059" xr:uid="{00000000-0005-0000-0000-000032080000}"/>
    <cellStyle name="Normal 4 4 9 2" xfId="4288" xr:uid="{00000000-0005-0000-0000-0000E7100000}"/>
    <cellStyle name="Normal 4 4 9 2 2" xfId="8510" xr:uid="{00000000-0005-0000-0000-000065210000}"/>
    <cellStyle name="Normal 4 4 9 2 2 2" xfId="18101" xr:uid="{2E070275-4DAC-4222-8E97-DC7E58F61FE8}"/>
    <cellStyle name="Normal 4 4 9 2 3" xfId="13880" xr:uid="{DA3A3FE1-163B-43E5-8EC5-9375D41B846A}"/>
    <cellStyle name="Normal 4 4 9 3" xfId="6365" xr:uid="{00000000-0005-0000-0000-000004190000}"/>
    <cellStyle name="Normal 4 4 9 3 2" xfId="15956" xr:uid="{A5CFFCF7-48E8-40F3-8FE2-3DDD63BBF6EB}"/>
    <cellStyle name="Normal 4 4 9 4" xfId="11651" xr:uid="{33084D06-0228-47F1-8EF5-5C8C1A29261C}"/>
    <cellStyle name="Normal 4 5" xfId="358" xr:uid="{00000000-0005-0000-0000-00008A010000}"/>
    <cellStyle name="Normal 4 6" xfId="359" xr:uid="{00000000-0005-0000-0000-00008B010000}"/>
    <cellStyle name="Normal 4 6 10" xfId="4729" xr:uid="{00000000-0005-0000-0000-0000A0120000}"/>
    <cellStyle name="Normal 4 6 10 2" xfId="14320" xr:uid="{2D760980-4924-4C82-803F-579A13278CAD}"/>
    <cellStyle name="Normal 4 6 11" xfId="8733" xr:uid="{00000000-0005-0000-0000-000044220000}"/>
    <cellStyle name="Normal 4 6 12" xfId="9957" xr:uid="{8E3650AB-13DD-469C-B847-3192A52DB59F}"/>
    <cellStyle name="Normal 4 6 2" xfId="360" xr:uid="{00000000-0005-0000-0000-00008C010000}"/>
    <cellStyle name="Normal 4 6 2 10" xfId="8786" xr:uid="{00000000-0005-0000-0000-000079220000}"/>
    <cellStyle name="Normal 4 6 2 11" xfId="9958" xr:uid="{300CFE1A-B9CB-4D20-A1FE-8B06CD652BFB}"/>
    <cellStyle name="Normal 4 6 2 2" xfId="361" xr:uid="{00000000-0005-0000-0000-00008D010000}"/>
    <cellStyle name="Normal 4 6 2 2 10" xfId="9959" xr:uid="{40A7E60A-A8A3-435E-A29E-0A8EF6662A18}"/>
    <cellStyle name="Normal 4 6 2 2 2" xfId="362" xr:uid="{00000000-0005-0000-0000-00008E010000}"/>
    <cellStyle name="Normal 4 6 2 2 2 2" xfId="833" xr:uid="{00000000-0005-0000-0000-000068030000}"/>
    <cellStyle name="Normal 4 6 2 2 2 2 2" xfId="3068" xr:uid="{00000000-0005-0000-0000-0000230C0000}"/>
    <cellStyle name="Normal 4 6 2 2 2 2 2 2" xfId="7290" xr:uid="{00000000-0005-0000-0000-0000A11C0000}"/>
    <cellStyle name="Normal 4 6 2 2 2 2 2 2 2" xfId="16881" xr:uid="{65C489CD-A826-488F-9D16-43CF271B71EA}"/>
    <cellStyle name="Normal 4 6 2 2 2 2 2 3" xfId="12660" xr:uid="{F4CD30CA-BF99-4E70-8CC9-AFAF3D3063D5}"/>
    <cellStyle name="Normal 4 6 2 2 2 2 3" xfId="5145" xr:uid="{00000000-0005-0000-0000-000040140000}"/>
    <cellStyle name="Normal 4 6 2 2 2 2 3 2" xfId="14736" xr:uid="{5BDB25BC-4C93-4E56-9845-8807011C78D8}"/>
    <cellStyle name="Normal 4 6 2 2 2 2 4" xfId="9521" xr:uid="{00000000-0005-0000-0000-000058250000}"/>
    <cellStyle name="Normal 4 6 2 2 2 2 5" xfId="10426" xr:uid="{BCD0A7F4-91AC-44AC-94A9-7CD05E29E407}"/>
    <cellStyle name="Normal 4 6 2 2 2 3" xfId="1251" xr:uid="{00000000-0005-0000-0000-00000A050000}"/>
    <cellStyle name="Normal 4 6 2 2 2 3 2" xfId="3481" xr:uid="{00000000-0005-0000-0000-0000C00D0000}"/>
    <cellStyle name="Normal 4 6 2 2 2 3 2 2" xfId="7703" xr:uid="{00000000-0005-0000-0000-00003E1E0000}"/>
    <cellStyle name="Normal 4 6 2 2 2 3 2 2 2" xfId="17294" xr:uid="{A19501D1-7196-4574-9452-5E8441E455CD}"/>
    <cellStyle name="Normal 4 6 2 2 2 3 2 3" xfId="13073" xr:uid="{AFCBD808-783C-45EF-BE33-168645F03CFA}"/>
    <cellStyle name="Normal 4 6 2 2 2 3 3" xfId="5558" xr:uid="{00000000-0005-0000-0000-0000DD150000}"/>
    <cellStyle name="Normal 4 6 2 2 2 3 3 2" xfId="15149" xr:uid="{9995014D-454F-4827-BA97-C359813848E4}"/>
    <cellStyle name="Normal 4 6 2 2 2 3 4" xfId="10844" xr:uid="{C83485CB-0E25-43A0-83CE-3B880F906E71}"/>
    <cellStyle name="Normal 4 6 2 2 2 4" xfId="1664" xr:uid="{00000000-0005-0000-0000-0000A7060000}"/>
    <cellStyle name="Normal 4 6 2 2 2 4 2" xfId="3894" xr:uid="{00000000-0005-0000-0000-00005D0F0000}"/>
    <cellStyle name="Normal 4 6 2 2 2 4 2 2" xfId="8116" xr:uid="{00000000-0005-0000-0000-0000DB1F0000}"/>
    <cellStyle name="Normal 4 6 2 2 2 4 2 2 2" xfId="17707" xr:uid="{09701C2F-1FF0-4430-A39B-59F43B2EF973}"/>
    <cellStyle name="Normal 4 6 2 2 2 4 2 3" xfId="13486" xr:uid="{3F41DFBC-D209-4537-8732-F0C392549569}"/>
    <cellStyle name="Normal 4 6 2 2 2 4 3" xfId="5971" xr:uid="{00000000-0005-0000-0000-00007A170000}"/>
    <cellStyle name="Normal 4 6 2 2 2 4 3 2" xfId="15562" xr:uid="{AFAC7BF7-0538-45B5-B860-5CE0BCD75CCD}"/>
    <cellStyle name="Normal 4 6 2 2 2 4 4" xfId="11257" xr:uid="{C55E8750-5EE6-4B61-A2F3-64CD8AC22388}"/>
    <cellStyle name="Normal 4 6 2 2 2 5" xfId="2078" xr:uid="{00000000-0005-0000-0000-000045080000}"/>
    <cellStyle name="Normal 4 6 2 2 2 5 2" xfId="4307" xr:uid="{00000000-0005-0000-0000-0000FA100000}"/>
    <cellStyle name="Normal 4 6 2 2 2 5 2 2" xfId="8529" xr:uid="{00000000-0005-0000-0000-000078210000}"/>
    <cellStyle name="Normal 4 6 2 2 2 5 2 2 2" xfId="18120" xr:uid="{B55BB7BB-EC7F-4C2F-A6FB-26D246F1FADE}"/>
    <cellStyle name="Normal 4 6 2 2 2 5 2 3" xfId="13899" xr:uid="{749680BB-DCB8-40B9-88E3-866A64B16411}"/>
    <cellStyle name="Normal 4 6 2 2 2 5 3" xfId="6384" xr:uid="{00000000-0005-0000-0000-000017190000}"/>
    <cellStyle name="Normal 4 6 2 2 2 5 3 2" xfId="15975" xr:uid="{A6B9B8BF-ACEE-4CFB-920D-BF9713C2BDED}"/>
    <cellStyle name="Normal 4 6 2 2 2 5 4" xfId="11670" xr:uid="{9E1E4D28-AF65-43D4-9009-ED07B6D13493}"/>
    <cellStyle name="Normal 4 6 2 2 2 6" xfId="2514" xr:uid="{00000000-0005-0000-0000-0000F9090000}"/>
    <cellStyle name="Normal 4 6 2 2 2 6 2" xfId="6797" xr:uid="{00000000-0005-0000-0000-0000B41A0000}"/>
    <cellStyle name="Normal 4 6 2 2 2 6 2 2" xfId="16388" xr:uid="{AF21D43A-728D-4266-A745-B3DD00DAFEDD}"/>
    <cellStyle name="Normal 4 6 2 2 2 6 3" xfId="12106" xr:uid="{89C0F51B-569D-4768-B46B-A32BCC503C3E}"/>
    <cellStyle name="Normal 4 6 2 2 2 7" xfId="4732" xr:uid="{00000000-0005-0000-0000-0000A3120000}"/>
    <cellStyle name="Normal 4 6 2 2 2 7 2" xfId="14323" xr:uid="{EB8D4EFF-079D-41C9-80C7-E12F00359397}"/>
    <cellStyle name="Normal 4 6 2 2 2 8" xfId="9096" xr:uid="{00000000-0005-0000-0000-0000AF230000}"/>
    <cellStyle name="Normal 4 6 2 2 2 9" xfId="9960" xr:uid="{08FB41DE-AFC7-464C-93DC-C7E062385141}"/>
    <cellStyle name="Normal 4 6 2 2 3" xfId="832" xr:uid="{00000000-0005-0000-0000-000067030000}"/>
    <cellStyle name="Normal 4 6 2 2 3 2" xfId="3067" xr:uid="{00000000-0005-0000-0000-0000220C0000}"/>
    <cellStyle name="Normal 4 6 2 2 3 2 2" xfId="7289" xr:uid="{00000000-0005-0000-0000-0000A01C0000}"/>
    <cellStyle name="Normal 4 6 2 2 3 2 2 2" xfId="16880" xr:uid="{6060E685-62A2-4AEC-BC74-5607E6837439}"/>
    <cellStyle name="Normal 4 6 2 2 3 2 3" xfId="12659" xr:uid="{E07E4044-F424-45DB-8E22-41BF32543005}"/>
    <cellStyle name="Normal 4 6 2 2 3 3" xfId="5144" xr:uid="{00000000-0005-0000-0000-00003F140000}"/>
    <cellStyle name="Normal 4 6 2 2 3 3 2" xfId="14735" xr:uid="{25E1F9E2-8764-40E8-9336-FE17BEE5FD29}"/>
    <cellStyle name="Normal 4 6 2 2 3 4" xfId="9314" xr:uid="{00000000-0005-0000-0000-000089240000}"/>
    <cellStyle name="Normal 4 6 2 2 3 5" xfId="10425" xr:uid="{56071B74-1333-46E9-B302-0D7EDAA29F89}"/>
    <cellStyle name="Normal 4 6 2 2 4" xfId="1250" xr:uid="{00000000-0005-0000-0000-000009050000}"/>
    <cellStyle name="Normal 4 6 2 2 4 2" xfId="3480" xr:uid="{00000000-0005-0000-0000-0000BF0D0000}"/>
    <cellStyle name="Normal 4 6 2 2 4 2 2" xfId="7702" xr:uid="{00000000-0005-0000-0000-00003D1E0000}"/>
    <cellStyle name="Normal 4 6 2 2 4 2 2 2" xfId="17293" xr:uid="{95F8F26F-8099-4002-8781-E79DD4E39726}"/>
    <cellStyle name="Normal 4 6 2 2 4 2 3" xfId="13072" xr:uid="{F320A0EA-B7E9-4322-8F8E-60667D17E3A0}"/>
    <cellStyle name="Normal 4 6 2 2 4 3" xfId="5557" xr:uid="{00000000-0005-0000-0000-0000DC150000}"/>
    <cellStyle name="Normal 4 6 2 2 4 3 2" xfId="15148" xr:uid="{6F500A84-0B5C-4F3F-8D33-B8DF4AB44207}"/>
    <cellStyle name="Normal 4 6 2 2 4 4" xfId="10843" xr:uid="{9863D0F1-B56F-41FB-A161-9656A08CDD41}"/>
    <cellStyle name="Normal 4 6 2 2 5" xfId="1663" xr:uid="{00000000-0005-0000-0000-0000A6060000}"/>
    <cellStyle name="Normal 4 6 2 2 5 2" xfId="3893" xr:uid="{00000000-0005-0000-0000-00005C0F0000}"/>
    <cellStyle name="Normal 4 6 2 2 5 2 2" xfId="8115" xr:uid="{00000000-0005-0000-0000-0000DA1F0000}"/>
    <cellStyle name="Normal 4 6 2 2 5 2 2 2" xfId="17706" xr:uid="{C9462200-B6FA-4E78-A0E9-B7E432D3FE36}"/>
    <cellStyle name="Normal 4 6 2 2 5 2 3" xfId="13485" xr:uid="{541050BF-EFE3-4A8D-B7FC-3E510B3F73D8}"/>
    <cellStyle name="Normal 4 6 2 2 5 3" xfId="5970" xr:uid="{00000000-0005-0000-0000-000079170000}"/>
    <cellStyle name="Normal 4 6 2 2 5 3 2" xfId="15561" xr:uid="{9C52A6DC-DCE5-4664-8B67-8B887C665FBD}"/>
    <cellStyle name="Normal 4 6 2 2 5 4" xfId="11256" xr:uid="{B214C145-076F-4A32-912B-AFB20FABC49E}"/>
    <cellStyle name="Normal 4 6 2 2 6" xfId="2077" xr:uid="{00000000-0005-0000-0000-000044080000}"/>
    <cellStyle name="Normal 4 6 2 2 6 2" xfId="4306" xr:uid="{00000000-0005-0000-0000-0000F9100000}"/>
    <cellStyle name="Normal 4 6 2 2 6 2 2" xfId="8528" xr:uid="{00000000-0005-0000-0000-000077210000}"/>
    <cellStyle name="Normal 4 6 2 2 6 2 2 2" xfId="18119" xr:uid="{B03024F6-C768-4E29-BDF0-7F2745D59718}"/>
    <cellStyle name="Normal 4 6 2 2 6 2 3" xfId="13898" xr:uid="{2F90B254-2841-4265-94AE-EDD74CDD3F05}"/>
    <cellStyle name="Normal 4 6 2 2 6 3" xfId="6383" xr:uid="{00000000-0005-0000-0000-000016190000}"/>
    <cellStyle name="Normal 4 6 2 2 6 3 2" xfId="15974" xr:uid="{209EA60E-464C-4D0A-A758-83BE730DE34A}"/>
    <cellStyle name="Normal 4 6 2 2 6 4" xfId="11669" xr:uid="{EA311859-52E6-4AFE-B255-4B55E02802A8}"/>
    <cellStyle name="Normal 4 6 2 2 7" xfId="2513" xr:uid="{00000000-0005-0000-0000-0000F8090000}"/>
    <cellStyle name="Normal 4 6 2 2 7 2" xfId="6796" xr:uid="{00000000-0005-0000-0000-0000B31A0000}"/>
    <cellStyle name="Normal 4 6 2 2 7 2 2" xfId="16387" xr:uid="{7B9D9B71-9F12-4DF6-9D7D-81ECF22E31C7}"/>
    <cellStyle name="Normal 4 6 2 2 7 3" xfId="12105" xr:uid="{F8F83504-6665-4EDF-A881-EFBEDA42789A}"/>
    <cellStyle name="Normal 4 6 2 2 8" xfId="4731" xr:uid="{00000000-0005-0000-0000-0000A2120000}"/>
    <cellStyle name="Normal 4 6 2 2 8 2" xfId="14322" xr:uid="{55547D5F-D844-4F30-8F9B-8AB916592C2A}"/>
    <cellStyle name="Normal 4 6 2 2 9" xfId="8889" xr:uid="{00000000-0005-0000-0000-0000E0220000}"/>
    <cellStyle name="Normal 4 6 2 3" xfId="363" xr:uid="{00000000-0005-0000-0000-00008F010000}"/>
    <cellStyle name="Normal 4 6 2 3 2" xfId="834" xr:uid="{00000000-0005-0000-0000-000069030000}"/>
    <cellStyle name="Normal 4 6 2 3 2 2" xfId="3069" xr:uid="{00000000-0005-0000-0000-0000240C0000}"/>
    <cellStyle name="Normal 4 6 2 3 2 2 2" xfId="7291" xr:uid="{00000000-0005-0000-0000-0000A21C0000}"/>
    <cellStyle name="Normal 4 6 2 3 2 2 2 2" xfId="16882" xr:uid="{796A2D9C-E548-4A7B-9A92-330E55DAF00F}"/>
    <cellStyle name="Normal 4 6 2 3 2 2 3" xfId="12661" xr:uid="{D83A4FE6-A7CD-4F02-82B7-E7AF43684F51}"/>
    <cellStyle name="Normal 4 6 2 3 2 3" xfId="5146" xr:uid="{00000000-0005-0000-0000-000041140000}"/>
    <cellStyle name="Normal 4 6 2 3 2 3 2" xfId="14737" xr:uid="{5189E5AF-7438-4E3F-B0AF-FF13B2C32658}"/>
    <cellStyle name="Normal 4 6 2 3 2 4" xfId="9418" xr:uid="{00000000-0005-0000-0000-0000F1240000}"/>
    <cellStyle name="Normal 4 6 2 3 2 5" xfId="10427" xr:uid="{99A01A72-3BCE-47C0-8470-89D540504E0C}"/>
    <cellStyle name="Normal 4 6 2 3 3" xfId="1252" xr:uid="{00000000-0005-0000-0000-00000B050000}"/>
    <cellStyle name="Normal 4 6 2 3 3 2" xfId="3482" xr:uid="{00000000-0005-0000-0000-0000C10D0000}"/>
    <cellStyle name="Normal 4 6 2 3 3 2 2" xfId="7704" xr:uid="{00000000-0005-0000-0000-00003F1E0000}"/>
    <cellStyle name="Normal 4 6 2 3 3 2 2 2" xfId="17295" xr:uid="{042CA052-0455-4DC4-A101-9E3934D1EFD2}"/>
    <cellStyle name="Normal 4 6 2 3 3 2 3" xfId="13074" xr:uid="{D92D9B18-1798-4674-9DA5-DAFEAA8FB90A}"/>
    <cellStyle name="Normal 4 6 2 3 3 3" xfId="5559" xr:uid="{00000000-0005-0000-0000-0000DE150000}"/>
    <cellStyle name="Normal 4 6 2 3 3 3 2" xfId="15150" xr:uid="{725CEA8B-8142-459E-970D-53F6F65EBE4B}"/>
    <cellStyle name="Normal 4 6 2 3 3 4" xfId="10845" xr:uid="{18DC3BE6-EA9C-4B9A-8244-63BCF46E5E20}"/>
    <cellStyle name="Normal 4 6 2 3 4" xfId="1665" xr:uid="{00000000-0005-0000-0000-0000A8060000}"/>
    <cellStyle name="Normal 4 6 2 3 4 2" xfId="3895" xr:uid="{00000000-0005-0000-0000-00005E0F0000}"/>
    <cellStyle name="Normal 4 6 2 3 4 2 2" xfId="8117" xr:uid="{00000000-0005-0000-0000-0000DC1F0000}"/>
    <cellStyle name="Normal 4 6 2 3 4 2 2 2" xfId="17708" xr:uid="{2DF72513-D42E-488D-8D32-81665C467F9D}"/>
    <cellStyle name="Normal 4 6 2 3 4 2 3" xfId="13487" xr:uid="{D20C1209-4B6B-4B9C-9227-E202430BEE6D}"/>
    <cellStyle name="Normal 4 6 2 3 4 3" xfId="5972" xr:uid="{00000000-0005-0000-0000-00007B170000}"/>
    <cellStyle name="Normal 4 6 2 3 4 3 2" xfId="15563" xr:uid="{86C9D6F9-D78A-477E-9C15-7F0130974DC1}"/>
    <cellStyle name="Normal 4 6 2 3 4 4" xfId="11258" xr:uid="{C8B206C8-EB95-4473-AAA8-11C23B9C6509}"/>
    <cellStyle name="Normal 4 6 2 3 5" xfId="2079" xr:uid="{00000000-0005-0000-0000-000046080000}"/>
    <cellStyle name="Normal 4 6 2 3 5 2" xfId="4308" xr:uid="{00000000-0005-0000-0000-0000FB100000}"/>
    <cellStyle name="Normal 4 6 2 3 5 2 2" xfId="8530" xr:uid="{00000000-0005-0000-0000-000079210000}"/>
    <cellStyle name="Normal 4 6 2 3 5 2 2 2" xfId="18121" xr:uid="{9913179D-8E97-4B0E-9C34-8E66BB34BDD4}"/>
    <cellStyle name="Normal 4 6 2 3 5 2 3" xfId="13900" xr:uid="{3FEA60D3-D25A-4D94-96B8-9FBFB44269C0}"/>
    <cellStyle name="Normal 4 6 2 3 5 3" xfId="6385" xr:uid="{00000000-0005-0000-0000-000018190000}"/>
    <cellStyle name="Normal 4 6 2 3 5 3 2" xfId="15976" xr:uid="{5C5FA462-FEAB-40A5-A824-A46D40F23F62}"/>
    <cellStyle name="Normal 4 6 2 3 5 4" xfId="11671" xr:uid="{C3F5D4BA-D44D-4709-A02C-0592C434FD45}"/>
    <cellStyle name="Normal 4 6 2 3 6" xfId="2515" xr:uid="{00000000-0005-0000-0000-0000FA090000}"/>
    <cellStyle name="Normal 4 6 2 3 6 2" xfId="6798" xr:uid="{00000000-0005-0000-0000-0000B51A0000}"/>
    <cellStyle name="Normal 4 6 2 3 6 2 2" xfId="16389" xr:uid="{569550F8-194D-40FB-A37B-7E27DBA90A87}"/>
    <cellStyle name="Normal 4 6 2 3 6 3" xfId="12107" xr:uid="{3C4BFCE4-54DF-4E7F-AA89-BCDC341019AF}"/>
    <cellStyle name="Normal 4 6 2 3 7" xfId="4733" xr:uid="{00000000-0005-0000-0000-0000A4120000}"/>
    <cellStyle name="Normal 4 6 2 3 7 2" xfId="14324" xr:uid="{18009E3F-1E1E-4A6A-9B1D-6FDCC47329D0}"/>
    <cellStyle name="Normal 4 6 2 3 8" xfId="8993" xr:uid="{00000000-0005-0000-0000-000048230000}"/>
    <cellStyle name="Normal 4 6 2 3 9" xfId="9961" xr:uid="{AFF1EDFF-C4F8-4288-877B-78F10428CA3D}"/>
    <cellStyle name="Normal 4 6 2 4" xfId="831" xr:uid="{00000000-0005-0000-0000-000066030000}"/>
    <cellStyle name="Normal 4 6 2 4 2" xfId="3066" xr:uid="{00000000-0005-0000-0000-0000210C0000}"/>
    <cellStyle name="Normal 4 6 2 4 2 2" xfId="7288" xr:uid="{00000000-0005-0000-0000-00009F1C0000}"/>
    <cellStyle name="Normal 4 6 2 4 2 2 2" xfId="16879" xr:uid="{131F9244-AAD2-4386-ADB3-E339BEBD7C0B}"/>
    <cellStyle name="Normal 4 6 2 4 2 3" xfId="12658" xr:uid="{5BC81400-F074-41EF-A6CC-F534593D62CC}"/>
    <cellStyle name="Normal 4 6 2 4 3" xfId="5143" xr:uid="{00000000-0005-0000-0000-00003E140000}"/>
    <cellStyle name="Normal 4 6 2 4 3 2" xfId="14734" xr:uid="{C04EA203-CF74-4357-8FF2-19196CEF1569}"/>
    <cellStyle name="Normal 4 6 2 4 4" xfId="9211" xr:uid="{00000000-0005-0000-0000-000022240000}"/>
    <cellStyle name="Normal 4 6 2 4 5" xfId="10424" xr:uid="{5281D1E1-EE8E-493C-8B19-8282998A9308}"/>
    <cellStyle name="Normal 4 6 2 5" xfId="1249" xr:uid="{00000000-0005-0000-0000-000008050000}"/>
    <cellStyle name="Normal 4 6 2 5 2" xfId="3479" xr:uid="{00000000-0005-0000-0000-0000BE0D0000}"/>
    <cellStyle name="Normal 4 6 2 5 2 2" xfId="7701" xr:uid="{00000000-0005-0000-0000-00003C1E0000}"/>
    <cellStyle name="Normal 4 6 2 5 2 2 2" xfId="17292" xr:uid="{B7DD36AA-7EA7-478B-8820-4DD32BE3C9AA}"/>
    <cellStyle name="Normal 4 6 2 5 2 3" xfId="13071" xr:uid="{2A044A37-BA71-4EBB-9B33-6656216A9007}"/>
    <cellStyle name="Normal 4 6 2 5 3" xfId="5556" xr:uid="{00000000-0005-0000-0000-0000DB150000}"/>
    <cellStyle name="Normal 4 6 2 5 3 2" xfId="15147" xr:uid="{EA0975CC-68F9-430D-9619-B54CE7E6450F}"/>
    <cellStyle name="Normal 4 6 2 5 4" xfId="10842" xr:uid="{73F33E89-37A3-4E69-9571-D143415EE30B}"/>
    <cellStyle name="Normal 4 6 2 6" xfId="1662" xr:uid="{00000000-0005-0000-0000-0000A5060000}"/>
    <cellStyle name="Normal 4 6 2 6 2" xfId="3892" xr:uid="{00000000-0005-0000-0000-00005B0F0000}"/>
    <cellStyle name="Normal 4 6 2 6 2 2" xfId="8114" xr:uid="{00000000-0005-0000-0000-0000D91F0000}"/>
    <cellStyle name="Normal 4 6 2 6 2 2 2" xfId="17705" xr:uid="{BD5BE34F-75FC-4B54-AF33-1C69978CCE4D}"/>
    <cellStyle name="Normal 4 6 2 6 2 3" xfId="13484" xr:uid="{7EA98809-9360-4002-9C86-42EBFA9DC211}"/>
    <cellStyle name="Normal 4 6 2 6 3" xfId="5969" xr:uid="{00000000-0005-0000-0000-000078170000}"/>
    <cellStyle name="Normal 4 6 2 6 3 2" xfId="15560" xr:uid="{CAD0B538-6A17-47E1-9DA8-81AE33F521AA}"/>
    <cellStyle name="Normal 4 6 2 6 4" xfId="11255" xr:uid="{A4068445-F37E-4D83-8629-C622D08F4E46}"/>
    <cellStyle name="Normal 4 6 2 7" xfId="2076" xr:uid="{00000000-0005-0000-0000-000043080000}"/>
    <cellStyle name="Normal 4 6 2 7 2" xfId="4305" xr:uid="{00000000-0005-0000-0000-0000F8100000}"/>
    <cellStyle name="Normal 4 6 2 7 2 2" xfId="8527" xr:uid="{00000000-0005-0000-0000-000076210000}"/>
    <cellStyle name="Normal 4 6 2 7 2 2 2" xfId="18118" xr:uid="{F1E8AFEF-A731-41AE-8C9D-C8985E78F5D3}"/>
    <cellStyle name="Normal 4 6 2 7 2 3" xfId="13897" xr:uid="{28E9FE89-D78B-4414-981F-2248CD9B2212}"/>
    <cellStyle name="Normal 4 6 2 7 3" xfId="6382" xr:uid="{00000000-0005-0000-0000-000015190000}"/>
    <cellStyle name="Normal 4 6 2 7 3 2" xfId="15973" xr:uid="{E964563F-EC5B-469B-B29F-61E1898C709B}"/>
    <cellStyle name="Normal 4 6 2 7 4" xfId="11668" xr:uid="{2412CE8C-1DBC-45AB-A5D3-C9329E1F9CA1}"/>
    <cellStyle name="Normal 4 6 2 8" xfId="2512" xr:uid="{00000000-0005-0000-0000-0000F7090000}"/>
    <cellStyle name="Normal 4 6 2 8 2" xfId="6795" xr:uid="{00000000-0005-0000-0000-0000B21A0000}"/>
    <cellStyle name="Normal 4 6 2 8 2 2" xfId="16386" xr:uid="{6A87FEA8-F619-4FB9-83C6-CF39D131FA28}"/>
    <cellStyle name="Normal 4 6 2 8 3" xfId="12104" xr:uid="{8C2B6196-5859-457B-A30D-2FA782331F9A}"/>
    <cellStyle name="Normal 4 6 2 9" xfId="4730" xr:uid="{00000000-0005-0000-0000-0000A1120000}"/>
    <cellStyle name="Normal 4 6 2 9 2" xfId="14321" xr:uid="{F5179D6C-68CE-4709-A8FD-7B4883CBA18F}"/>
    <cellStyle name="Normal 4 6 3" xfId="364" xr:uid="{00000000-0005-0000-0000-000090010000}"/>
    <cellStyle name="Normal 4 6 3 10" xfId="9962" xr:uid="{6E3CCF93-7D12-48B8-802A-199085D38C66}"/>
    <cellStyle name="Normal 4 6 3 2" xfId="365" xr:uid="{00000000-0005-0000-0000-000091010000}"/>
    <cellStyle name="Normal 4 6 3 2 2" xfId="836" xr:uid="{00000000-0005-0000-0000-00006B030000}"/>
    <cellStyle name="Normal 4 6 3 2 2 2" xfId="3071" xr:uid="{00000000-0005-0000-0000-0000260C0000}"/>
    <cellStyle name="Normal 4 6 3 2 2 2 2" xfId="7293" xr:uid="{00000000-0005-0000-0000-0000A41C0000}"/>
    <cellStyle name="Normal 4 6 3 2 2 2 2 2" xfId="16884" xr:uid="{A3DEEA07-B574-4FDB-A957-E519E15B8875}"/>
    <cellStyle name="Normal 4 6 3 2 2 2 3" xfId="12663" xr:uid="{675148DC-B2B0-4E63-A78F-CBCE72F090AC}"/>
    <cellStyle name="Normal 4 6 3 2 2 3" xfId="5148" xr:uid="{00000000-0005-0000-0000-000043140000}"/>
    <cellStyle name="Normal 4 6 3 2 2 3 2" xfId="14739" xr:uid="{D1EED636-C23F-4B2C-BB21-A2A71EA9793A}"/>
    <cellStyle name="Normal 4 6 3 2 2 4" xfId="9468" xr:uid="{00000000-0005-0000-0000-000023250000}"/>
    <cellStyle name="Normal 4 6 3 2 2 5" xfId="10429" xr:uid="{D11F1D2C-84E0-41B4-9808-917D4CB32927}"/>
    <cellStyle name="Normal 4 6 3 2 3" xfId="1254" xr:uid="{00000000-0005-0000-0000-00000D050000}"/>
    <cellStyle name="Normal 4 6 3 2 3 2" xfId="3484" xr:uid="{00000000-0005-0000-0000-0000C30D0000}"/>
    <cellStyle name="Normal 4 6 3 2 3 2 2" xfId="7706" xr:uid="{00000000-0005-0000-0000-0000411E0000}"/>
    <cellStyle name="Normal 4 6 3 2 3 2 2 2" xfId="17297" xr:uid="{280EED92-6218-49EA-ACE5-DE6D28D7D878}"/>
    <cellStyle name="Normal 4 6 3 2 3 2 3" xfId="13076" xr:uid="{2B524054-89FE-45E0-AF91-63964BC7CB26}"/>
    <cellStyle name="Normal 4 6 3 2 3 3" xfId="5561" xr:uid="{00000000-0005-0000-0000-0000E0150000}"/>
    <cellStyle name="Normal 4 6 3 2 3 3 2" xfId="15152" xr:uid="{347A7E5B-C011-400B-A299-34AADCB54FA3}"/>
    <cellStyle name="Normal 4 6 3 2 3 4" xfId="10847" xr:uid="{DADB3100-3C1F-448B-8B98-2B912AF85A9E}"/>
    <cellStyle name="Normal 4 6 3 2 4" xfId="1667" xr:uid="{00000000-0005-0000-0000-0000AA060000}"/>
    <cellStyle name="Normal 4 6 3 2 4 2" xfId="3897" xr:uid="{00000000-0005-0000-0000-0000600F0000}"/>
    <cellStyle name="Normal 4 6 3 2 4 2 2" xfId="8119" xr:uid="{00000000-0005-0000-0000-0000DE1F0000}"/>
    <cellStyle name="Normal 4 6 3 2 4 2 2 2" xfId="17710" xr:uid="{021A4436-B966-4AE0-86C7-CD74842B0201}"/>
    <cellStyle name="Normal 4 6 3 2 4 2 3" xfId="13489" xr:uid="{0406F53E-A668-487E-BA36-81CBCC885B27}"/>
    <cellStyle name="Normal 4 6 3 2 4 3" xfId="5974" xr:uid="{00000000-0005-0000-0000-00007D170000}"/>
    <cellStyle name="Normal 4 6 3 2 4 3 2" xfId="15565" xr:uid="{E473BF37-5911-41DB-8F5D-262A76760D91}"/>
    <cellStyle name="Normal 4 6 3 2 4 4" xfId="11260" xr:uid="{2E51BBF8-79D0-4583-8202-44B185712F5D}"/>
    <cellStyle name="Normal 4 6 3 2 5" xfId="2081" xr:uid="{00000000-0005-0000-0000-000048080000}"/>
    <cellStyle name="Normal 4 6 3 2 5 2" xfId="4310" xr:uid="{00000000-0005-0000-0000-0000FD100000}"/>
    <cellStyle name="Normal 4 6 3 2 5 2 2" xfId="8532" xr:uid="{00000000-0005-0000-0000-00007B210000}"/>
    <cellStyle name="Normal 4 6 3 2 5 2 2 2" xfId="18123" xr:uid="{85BB4E4D-64C6-485A-841A-806B1F81BF5E}"/>
    <cellStyle name="Normal 4 6 3 2 5 2 3" xfId="13902" xr:uid="{D4BD9CE9-7505-4F94-9EA6-DEE70DC2701C}"/>
    <cellStyle name="Normal 4 6 3 2 5 3" xfId="6387" xr:uid="{00000000-0005-0000-0000-00001A190000}"/>
    <cellStyle name="Normal 4 6 3 2 5 3 2" xfId="15978" xr:uid="{42D53CFE-5BC6-4197-BD93-16A9CD13FFB4}"/>
    <cellStyle name="Normal 4 6 3 2 5 4" xfId="11673" xr:uid="{214AF4AE-0A18-409F-98C8-B1B518A7F725}"/>
    <cellStyle name="Normal 4 6 3 2 6" xfId="2517" xr:uid="{00000000-0005-0000-0000-0000FC090000}"/>
    <cellStyle name="Normal 4 6 3 2 6 2" xfId="6800" xr:uid="{00000000-0005-0000-0000-0000B71A0000}"/>
    <cellStyle name="Normal 4 6 3 2 6 2 2" xfId="16391" xr:uid="{4236C169-BCD3-41B4-A364-B3DBB2844904}"/>
    <cellStyle name="Normal 4 6 3 2 6 3" xfId="12109" xr:uid="{21ED8825-FEBC-41B5-9017-6B1B408AC20A}"/>
    <cellStyle name="Normal 4 6 3 2 7" xfId="4735" xr:uid="{00000000-0005-0000-0000-0000A6120000}"/>
    <cellStyle name="Normal 4 6 3 2 7 2" xfId="14326" xr:uid="{2A669A80-000C-4AE4-ADFF-C15039CF71D6}"/>
    <cellStyle name="Normal 4 6 3 2 8" xfId="9043" xr:uid="{00000000-0005-0000-0000-00007A230000}"/>
    <cellStyle name="Normal 4 6 3 2 9" xfId="9963" xr:uid="{305C7FEA-878A-4E1E-A066-B050E5B4F15E}"/>
    <cellStyle name="Normal 4 6 3 3" xfId="835" xr:uid="{00000000-0005-0000-0000-00006A030000}"/>
    <cellStyle name="Normal 4 6 3 3 2" xfId="3070" xr:uid="{00000000-0005-0000-0000-0000250C0000}"/>
    <cellStyle name="Normal 4 6 3 3 2 2" xfId="7292" xr:uid="{00000000-0005-0000-0000-0000A31C0000}"/>
    <cellStyle name="Normal 4 6 3 3 2 2 2" xfId="16883" xr:uid="{A510B615-D21D-41C7-908E-BA218871E1F6}"/>
    <cellStyle name="Normal 4 6 3 3 2 3" xfId="12662" xr:uid="{6F7D7B4C-01B5-4AA6-AD6C-8DAA06895459}"/>
    <cellStyle name="Normal 4 6 3 3 3" xfId="5147" xr:uid="{00000000-0005-0000-0000-000042140000}"/>
    <cellStyle name="Normal 4 6 3 3 3 2" xfId="14738" xr:uid="{D012E3B6-F9DB-4DBD-9B2C-9AC4638D8BF6}"/>
    <cellStyle name="Normal 4 6 3 3 4" xfId="9261" xr:uid="{00000000-0005-0000-0000-000054240000}"/>
    <cellStyle name="Normal 4 6 3 3 5" xfId="10428" xr:uid="{C4E8221C-96A3-400F-9003-EC5A138D781C}"/>
    <cellStyle name="Normal 4 6 3 4" xfId="1253" xr:uid="{00000000-0005-0000-0000-00000C050000}"/>
    <cellStyle name="Normal 4 6 3 4 2" xfId="3483" xr:uid="{00000000-0005-0000-0000-0000C20D0000}"/>
    <cellStyle name="Normal 4 6 3 4 2 2" xfId="7705" xr:uid="{00000000-0005-0000-0000-0000401E0000}"/>
    <cellStyle name="Normal 4 6 3 4 2 2 2" xfId="17296" xr:uid="{CCF70CAA-F118-45BD-9D42-C53FF484C579}"/>
    <cellStyle name="Normal 4 6 3 4 2 3" xfId="13075" xr:uid="{7DB55DAA-1E56-456B-952E-2A05172B60B2}"/>
    <cellStyle name="Normal 4 6 3 4 3" xfId="5560" xr:uid="{00000000-0005-0000-0000-0000DF150000}"/>
    <cellStyle name="Normal 4 6 3 4 3 2" xfId="15151" xr:uid="{FE8E2254-1532-497E-9BB0-F725D7073938}"/>
    <cellStyle name="Normal 4 6 3 4 4" xfId="10846" xr:uid="{59EBE9B7-7127-47E0-A910-FA07F3995117}"/>
    <cellStyle name="Normal 4 6 3 5" xfId="1666" xr:uid="{00000000-0005-0000-0000-0000A9060000}"/>
    <cellStyle name="Normal 4 6 3 5 2" xfId="3896" xr:uid="{00000000-0005-0000-0000-00005F0F0000}"/>
    <cellStyle name="Normal 4 6 3 5 2 2" xfId="8118" xr:uid="{00000000-0005-0000-0000-0000DD1F0000}"/>
    <cellStyle name="Normal 4 6 3 5 2 2 2" xfId="17709" xr:uid="{F1BF2533-2369-4585-9642-1D29ABDF2C4A}"/>
    <cellStyle name="Normal 4 6 3 5 2 3" xfId="13488" xr:uid="{6DB9FC72-CE1F-469D-8BF5-F366EA20DC0B}"/>
    <cellStyle name="Normal 4 6 3 5 3" xfId="5973" xr:uid="{00000000-0005-0000-0000-00007C170000}"/>
    <cellStyle name="Normal 4 6 3 5 3 2" xfId="15564" xr:uid="{7F9CCBFD-7133-4FCA-8418-F9B7C0897B56}"/>
    <cellStyle name="Normal 4 6 3 5 4" xfId="11259" xr:uid="{C9E5BFFF-59E5-4E0B-80EB-EEA51AB705C3}"/>
    <cellStyle name="Normal 4 6 3 6" xfId="2080" xr:uid="{00000000-0005-0000-0000-000047080000}"/>
    <cellStyle name="Normal 4 6 3 6 2" xfId="4309" xr:uid="{00000000-0005-0000-0000-0000FC100000}"/>
    <cellStyle name="Normal 4 6 3 6 2 2" xfId="8531" xr:uid="{00000000-0005-0000-0000-00007A210000}"/>
    <cellStyle name="Normal 4 6 3 6 2 2 2" xfId="18122" xr:uid="{21BFE31F-7AB8-4D24-9DA0-E6E5445ACD8E}"/>
    <cellStyle name="Normal 4 6 3 6 2 3" xfId="13901" xr:uid="{2E04EE83-3B46-46D5-B6C3-71A7D0B9B7C7}"/>
    <cellStyle name="Normal 4 6 3 6 3" xfId="6386" xr:uid="{00000000-0005-0000-0000-000019190000}"/>
    <cellStyle name="Normal 4 6 3 6 3 2" xfId="15977" xr:uid="{2BA1559C-428B-4512-BDE4-95B695881AC1}"/>
    <cellStyle name="Normal 4 6 3 6 4" xfId="11672" xr:uid="{C7672151-C07B-426A-8002-1A1429C60322}"/>
    <cellStyle name="Normal 4 6 3 7" xfId="2516" xr:uid="{00000000-0005-0000-0000-0000FB090000}"/>
    <cellStyle name="Normal 4 6 3 7 2" xfId="6799" xr:uid="{00000000-0005-0000-0000-0000B61A0000}"/>
    <cellStyle name="Normal 4 6 3 7 2 2" xfId="16390" xr:uid="{2FDEA921-A610-4F55-B0C7-37BD8E4722A5}"/>
    <cellStyle name="Normal 4 6 3 7 3" xfId="12108" xr:uid="{AEB3B358-97AF-4055-83CB-28EC9267D33E}"/>
    <cellStyle name="Normal 4 6 3 8" xfId="4734" xr:uid="{00000000-0005-0000-0000-0000A5120000}"/>
    <cellStyle name="Normal 4 6 3 8 2" xfId="14325" xr:uid="{7DECDACC-B811-4C57-A8CC-F661DA3257BC}"/>
    <cellStyle name="Normal 4 6 3 9" xfId="8836" xr:uid="{00000000-0005-0000-0000-0000AB220000}"/>
    <cellStyle name="Normal 4 6 4" xfId="366" xr:uid="{00000000-0005-0000-0000-000092010000}"/>
    <cellStyle name="Normal 4 6 4 2" xfId="837" xr:uid="{00000000-0005-0000-0000-00006C030000}"/>
    <cellStyle name="Normal 4 6 4 2 2" xfId="3072" xr:uid="{00000000-0005-0000-0000-0000270C0000}"/>
    <cellStyle name="Normal 4 6 4 2 2 2" xfId="7294" xr:uid="{00000000-0005-0000-0000-0000A51C0000}"/>
    <cellStyle name="Normal 4 6 4 2 2 2 2" xfId="16885" xr:uid="{BB947311-B86E-4DED-B854-1EE95AC2963F}"/>
    <cellStyle name="Normal 4 6 4 2 2 3" xfId="12664" xr:uid="{C2B71E86-CF56-46B4-B155-355E5270B676}"/>
    <cellStyle name="Normal 4 6 4 2 3" xfId="5149" xr:uid="{00000000-0005-0000-0000-000044140000}"/>
    <cellStyle name="Normal 4 6 4 2 3 2" xfId="14740" xr:uid="{FF9593DA-8E06-4663-8611-A494D1DB0C02}"/>
    <cellStyle name="Normal 4 6 4 2 4" xfId="9365" xr:uid="{00000000-0005-0000-0000-0000BC240000}"/>
    <cellStyle name="Normal 4 6 4 2 5" xfId="10430" xr:uid="{7C2A4339-94B6-4DBD-86F1-EC5D2CBC5CDB}"/>
    <cellStyle name="Normal 4 6 4 3" xfId="1255" xr:uid="{00000000-0005-0000-0000-00000E050000}"/>
    <cellStyle name="Normal 4 6 4 3 2" xfId="3485" xr:uid="{00000000-0005-0000-0000-0000C40D0000}"/>
    <cellStyle name="Normal 4 6 4 3 2 2" xfId="7707" xr:uid="{00000000-0005-0000-0000-0000421E0000}"/>
    <cellStyle name="Normal 4 6 4 3 2 2 2" xfId="17298" xr:uid="{1FEB0326-0D11-404D-B429-732CF96553A6}"/>
    <cellStyle name="Normal 4 6 4 3 2 3" xfId="13077" xr:uid="{E2B48410-5045-47E3-B0D4-EC11AFDA30A1}"/>
    <cellStyle name="Normal 4 6 4 3 3" xfId="5562" xr:uid="{00000000-0005-0000-0000-0000E1150000}"/>
    <cellStyle name="Normal 4 6 4 3 3 2" xfId="15153" xr:uid="{01C5F788-A7BA-431C-89DD-1237903D363C}"/>
    <cellStyle name="Normal 4 6 4 3 4" xfId="10848" xr:uid="{5103B510-A727-4CD5-B5A7-6F05B2D6FE5B}"/>
    <cellStyle name="Normal 4 6 4 4" xfId="1668" xr:uid="{00000000-0005-0000-0000-0000AB060000}"/>
    <cellStyle name="Normal 4 6 4 4 2" xfId="3898" xr:uid="{00000000-0005-0000-0000-0000610F0000}"/>
    <cellStyle name="Normal 4 6 4 4 2 2" xfId="8120" xr:uid="{00000000-0005-0000-0000-0000DF1F0000}"/>
    <cellStyle name="Normal 4 6 4 4 2 2 2" xfId="17711" xr:uid="{DBC8F424-C5E7-46BC-A38F-C1AAEC8FA1D2}"/>
    <cellStyle name="Normal 4 6 4 4 2 3" xfId="13490" xr:uid="{FA5BD92B-4B1B-4209-91AF-A5AA3038E7A6}"/>
    <cellStyle name="Normal 4 6 4 4 3" xfId="5975" xr:uid="{00000000-0005-0000-0000-00007E170000}"/>
    <cellStyle name="Normal 4 6 4 4 3 2" xfId="15566" xr:uid="{9EE936F5-48C6-4A73-B3D0-1C9059B9E9EB}"/>
    <cellStyle name="Normal 4 6 4 4 4" xfId="11261" xr:uid="{BA10BC36-B3A9-4BE7-A9B5-0FC519882D4F}"/>
    <cellStyle name="Normal 4 6 4 5" xfId="2082" xr:uid="{00000000-0005-0000-0000-000049080000}"/>
    <cellStyle name="Normal 4 6 4 5 2" xfId="4311" xr:uid="{00000000-0005-0000-0000-0000FE100000}"/>
    <cellStyle name="Normal 4 6 4 5 2 2" xfId="8533" xr:uid="{00000000-0005-0000-0000-00007C210000}"/>
    <cellStyle name="Normal 4 6 4 5 2 2 2" xfId="18124" xr:uid="{2E362E61-3474-41F6-9A6E-693B898AFC69}"/>
    <cellStyle name="Normal 4 6 4 5 2 3" xfId="13903" xr:uid="{78BB1E1D-1818-4B2C-8459-2FE8252A1977}"/>
    <cellStyle name="Normal 4 6 4 5 3" xfId="6388" xr:uid="{00000000-0005-0000-0000-00001B190000}"/>
    <cellStyle name="Normal 4 6 4 5 3 2" xfId="15979" xr:uid="{AFD19C2A-DE1D-4B53-9A27-081BD1FE1FDA}"/>
    <cellStyle name="Normal 4 6 4 5 4" xfId="11674" xr:uid="{D00B51E8-B55F-447C-B04B-DFC3E2350ACA}"/>
    <cellStyle name="Normal 4 6 4 6" xfId="2518" xr:uid="{00000000-0005-0000-0000-0000FD090000}"/>
    <cellStyle name="Normal 4 6 4 6 2" xfId="6801" xr:uid="{00000000-0005-0000-0000-0000B81A0000}"/>
    <cellStyle name="Normal 4 6 4 6 2 2" xfId="16392" xr:uid="{082A69E0-126C-4869-88BC-BC35D5B7BD63}"/>
    <cellStyle name="Normal 4 6 4 6 3" xfId="12110" xr:uid="{DBF92EFE-B04D-4391-BD25-BAB2754CFCBB}"/>
    <cellStyle name="Normal 4 6 4 7" xfId="4736" xr:uid="{00000000-0005-0000-0000-0000A7120000}"/>
    <cellStyle name="Normal 4 6 4 7 2" xfId="14327" xr:uid="{879B2BAE-D31B-4601-804C-A167A3752F2B}"/>
    <cellStyle name="Normal 4 6 4 8" xfId="8940" xr:uid="{00000000-0005-0000-0000-000013230000}"/>
    <cellStyle name="Normal 4 6 4 9" xfId="9964" xr:uid="{539A1864-7D38-46F3-965F-2B90620B0BE8}"/>
    <cellStyle name="Normal 4 6 5" xfId="830" xr:uid="{00000000-0005-0000-0000-000065030000}"/>
    <cellStyle name="Normal 4 6 5 2" xfId="3065" xr:uid="{00000000-0005-0000-0000-0000200C0000}"/>
    <cellStyle name="Normal 4 6 5 2 2" xfId="7287" xr:uid="{00000000-0005-0000-0000-00009E1C0000}"/>
    <cellStyle name="Normal 4 6 5 2 2 2" xfId="16878" xr:uid="{9394AFBA-D3BA-4BBE-81FA-4AE6662705F3}"/>
    <cellStyle name="Normal 4 6 5 2 3" xfId="12657" xr:uid="{D3958BB9-E870-4ADD-9867-C68DE3504E48}"/>
    <cellStyle name="Normal 4 6 5 3" xfId="5142" xr:uid="{00000000-0005-0000-0000-00003D140000}"/>
    <cellStyle name="Normal 4 6 5 3 2" xfId="14733" xr:uid="{D5B6C4E0-4223-43EE-812A-5DE46C26CF9B}"/>
    <cellStyle name="Normal 4 6 5 4" xfId="9157" xr:uid="{00000000-0005-0000-0000-0000EC230000}"/>
    <cellStyle name="Normal 4 6 5 5" xfId="10423" xr:uid="{560B363D-67A6-44B5-874D-E6622991CE5E}"/>
    <cellStyle name="Normal 4 6 6" xfId="1248" xr:uid="{00000000-0005-0000-0000-000007050000}"/>
    <cellStyle name="Normal 4 6 6 2" xfId="3478" xr:uid="{00000000-0005-0000-0000-0000BD0D0000}"/>
    <cellStyle name="Normal 4 6 6 2 2" xfId="7700" xr:uid="{00000000-0005-0000-0000-00003B1E0000}"/>
    <cellStyle name="Normal 4 6 6 2 2 2" xfId="17291" xr:uid="{6B3B1657-7147-4BCE-856C-DC8EB20F3B91}"/>
    <cellStyle name="Normal 4 6 6 2 3" xfId="13070" xr:uid="{89655D57-CBF0-4F94-8BB6-B16A60CA82FF}"/>
    <cellStyle name="Normal 4 6 6 3" xfId="5555" xr:uid="{00000000-0005-0000-0000-0000DA150000}"/>
    <cellStyle name="Normal 4 6 6 3 2" xfId="15146" xr:uid="{263DDAC1-F179-465E-A740-4A76B4E9A72C}"/>
    <cellStyle name="Normal 4 6 6 4" xfId="10841" xr:uid="{1F0A6652-2860-4E2B-A36D-80872D3E073B}"/>
    <cellStyle name="Normal 4 6 7" xfId="1661" xr:uid="{00000000-0005-0000-0000-0000A4060000}"/>
    <cellStyle name="Normal 4 6 7 2" xfId="3891" xr:uid="{00000000-0005-0000-0000-00005A0F0000}"/>
    <cellStyle name="Normal 4 6 7 2 2" xfId="8113" xr:uid="{00000000-0005-0000-0000-0000D81F0000}"/>
    <cellStyle name="Normal 4 6 7 2 2 2" xfId="17704" xr:uid="{B4B23996-137E-42D8-9B2B-CE434FE3BA89}"/>
    <cellStyle name="Normal 4 6 7 2 3" xfId="13483" xr:uid="{C99C4AE2-0722-48C5-A926-6B8E686066E4}"/>
    <cellStyle name="Normal 4 6 7 3" xfId="5968" xr:uid="{00000000-0005-0000-0000-000077170000}"/>
    <cellStyle name="Normal 4 6 7 3 2" xfId="15559" xr:uid="{374FA8BC-9102-466C-9B93-D2D11AB42639}"/>
    <cellStyle name="Normal 4 6 7 4" xfId="11254" xr:uid="{79D0450F-F234-4E5E-88EE-27CCD296D8B3}"/>
    <cellStyle name="Normal 4 6 8" xfId="2075" xr:uid="{00000000-0005-0000-0000-000042080000}"/>
    <cellStyle name="Normal 4 6 8 2" xfId="4304" xr:uid="{00000000-0005-0000-0000-0000F7100000}"/>
    <cellStyle name="Normal 4 6 8 2 2" xfId="8526" xr:uid="{00000000-0005-0000-0000-000075210000}"/>
    <cellStyle name="Normal 4 6 8 2 2 2" xfId="18117" xr:uid="{C334189B-190A-483D-91EC-662A66877DBD}"/>
    <cellStyle name="Normal 4 6 8 2 3" xfId="13896" xr:uid="{4761A3BD-F036-4E77-99AD-987C79A5E470}"/>
    <cellStyle name="Normal 4 6 8 3" xfId="6381" xr:uid="{00000000-0005-0000-0000-000014190000}"/>
    <cellStyle name="Normal 4 6 8 3 2" xfId="15972" xr:uid="{B71E5899-E1A9-44A4-814F-82A9921E6F54}"/>
    <cellStyle name="Normal 4 6 8 4" xfId="11667" xr:uid="{43716072-40CD-4C73-8208-BFB299CC7E8B}"/>
    <cellStyle name="Normal 4 6 9" xfId="2511" xr:uid="{00000000-0005-0000-0000-0000F6090000}"/>
    <cellStyle name="Normal 4 6 9 2" xfId="6794" xr:uid="{00000000-0005-0000-0000-0000B11A0000}"/>
    <cellStyle name="Normal 4 6 9 2 2" xfId="16385" xr:uid="{7C114788-0574-44FD-BD3D-C8732BA68C73}"/>
    <cellStyle name="Normal 4 6 9 3" xfId="12103" xr:uid="{9FCCB689-92B7-4D4D-825D-78097D88C10B}"/>
    <cellStyle name="Normal 4 7" xfId="367" xr:uid="{00000000-0005-0000-0000-000093010000}"/>
    <cellStyle name="Normal 4 7 10" xfId="9965" xr:uid="{E0751CE8-B891-48B2-93EB-34FEA3F02AB3}"/>
    <cellStyle name="Normal 4 7 2" xfId="368" xr:uid="{00000000-0005-0000-0000-000094010000}"/>
    <cellStyle name="Normal 4 7 2 2" xfId="839" xr:uid="{00000000-0005-0000-0000-00006E030000}"/>
    <cellStyle name="Normal 4 7 2 2 2" xfId="3074" xr:uid="{00000000-0005-0000-0000-0000290C0000}"/>
    <cellStyle name="Normal 4 7 2 2 2 2" xfId="7296" xr:uid="{00000000-0005-0000-0000-0000A71C0000}"/>
    <cellStyle name="Normal 4 7 2 2 2 2 2" xfId="16887" xr:uid="{1FB7CEDE-BF16-406A-A42D-6B2347D80F93}"/>
    <cellStyle name="Normal 4 7 2 2 2 3" xfId="12666" xr:uid="{B6C4199A-D8FC-40FD-9219-C7B9C36E33DF}"/>
    <cellStyle name="Normal 4 7 2 2 3" xfId="5151" xr:uid="{00000000-0005-0000-0000-000046140000}"/>
    <cellStyle name="Normal 4 7 2 2 3 2" xfId="14742" xr:uid="{1AD2C582-6ABF-485E-8E37-DDA8A93B1E46}"/>
    <cellStyle name="Normal 4 7 2 2 4" xfId="9436" xr:uid="{00000000-0005-0000-0000-000003250000}"/>
    <cellStyle name="Normal 4 7 2 2 5" xfId="10432" xr:uid="{B6EAE8D0-BF49-444B-BF47-D6DCD2AD1A60}"/>
    <cellStyle name="Normal 4 7 2 3" xfId="1257" xr:uid="{00000000-0005-0000-0000-000010050000}"/>
    <cellStyle name="Normal 4 7 2 3 2" xfId="3487" xr:uid="{00000000-0005-0000-0000-0000C60D0000}"/>
    <cellStyle name="Normal 4 7 2 3 2 2" xfId="7709" xr:uid="{00000000-0005-0000-0000-0000441E0000}"/>
    <cellStyle name="Normal 4 7 2 3 2 2 2" xfId="17300" xr:uid="{1C44892F-3F42-471F-91C7-EE7130091C5B}"/>
    <cellStyle name="Normal 4 7 2 3 2 3" xfId="13079" xr:uid="{502308B5-4BB3-4059-9678-0229FA697C8E}"/>
    <cellStyle name="Normal 4 7 2 3 3" xfId="5564" xr:uid="{00000000-0005-0000-0000-0000E3150000}"/>
    <cellStyle name="Normal 4 7 2 3 3 2" xfId="15155" xr:uid="{30E110AC-0618-40B4-91E7-4E089052CF69}"/>
    <cellStyle name="Normal 4 7 2 3 4" xfId="10850" xr:uid="{CAA0551E-620F-4878-B7A0-4965D1FA38D4}"/>
    <cellStyle name="Normal 4 7 2 4" xfId="1670" xr:uid="{00000000-0005-0000-0000-0000AD060000}"/>
    <cellStyle name="Normal 4 7 2 4 2" xfId="3900" xr:uid="{00000000-0005-0000-0000-0000630F0000}"/>
    <cellStyle name="Normal 4 7 2 4 2 2" xfId="8122" xr:uid="{00000000-0005-0000-0000-0000E11F0000}"/>
    <cellStyle name="Normal 4 7 2 4 2 2 2" xfId="17713" xr:uid="{2701A185-3716-45D0-8C98-48F81BC0BBE1}"/>
    <cellStyle name="Normal 4 7 2 4 2 3" xfId="13492" xr:uid="{AD294EF9-1922-4216-BBFC-8E34691A13B0}"/>
    <cellStyle name="Normal 4 7 2 4 3" xfId="5977" xr:uid="{00000000-0005-0000-0000-000080170000}"/>
    <cellStyle name="Normal 4 7 2 4 3 2" xfId="15568" xr:uid="{C2131552-6F3C-493E-8536-6526AF501368}"/>
    <cellStyle name="Normal 4 7 2 4 4" xfId="11263" xr:uid="{9170D387-2617-44CD-9798-0650FB6CAB27}"/>
    <cellStyle name="Normal 4 7 2 5" xfId="2084" xr:uid="{00000000-0005-0000-0000-00004B080000}"/>
    <cellStyle name="Normal 4 7 2 5 2" xfId="4313" xr:uid="{00000000-0005-0000-0000-000000110000}"/>
    <cellStyle name="Normal 4 7 2 5 2 2" xfId="8535" xr:uid="{00000000-0005-0000-0000-00007E210000}"/>
    <cellStyle name="Normal 4 7 2 5 2 2 2" xfId="18126" xr:uid="{A2E8EDFE-7F13-4EC6-8622-9E413FB369A7}"/>
    <cellStyle name="Normal 4 7 2 5 2 3" xfId="13905" xr:uid="{B6C98750-2F20-44C2-B1A7-06E0FC9B0BAE}"/>
    <cellStyle name="Normal 4 7 2 5 3" xfId="6390" xr:uid="{00000000-0005-0000-0000-00001D190000}"/>
    <cellStyle name="Normal 4 7 2 5 3 2" xfId="15981" xr:uid="{1E29C0B1-B412-4ED5-A25C-E594D21B9D8E}"/>
    <cellStyle name="Normal 4 7 2 5 4" xfId="11676" xr:uid="{3270EF7C-BF31-4750-9300-94818A7D39A0}"/>
    <cellStyle name="Normal 4 7 2 6" xfId="2520" xr:uid="{00000000-0005-0000-0000-0000FF090000}"/>
    <cellStyle name="Normal 4 7 2 6 2" xfId="6803" xr:uid="{00000000-0005-0000-0000-0000BA1A0000}"/>
    <cellStyle name="Normal 4 7 2 6 2 2" xfId="16394" xr:uid="{AF77EB6F-E819-43AF-ABC0-E1B628A0CD45}"/>
    <cellStyle name="Normal 4 7 2 6 3" xfId="12112" xr:uid="{9FD66414-856F-442E-9AEB-5B6D96FA864C}"/>
    <cellStyle name="Normal 4 7 2 7" xfId="4738" xr:uid="{00000000-0005-0000-0000-0000A9120000}"/>
    <cellStyle name="Normal 4 7 2 7 2" xfId="14329" xr:uid="{DB5BF882-550C-49CC-858E-01F1F70E4FC8}"/>
    <cellStyle name="Normal 4 7 2 8" xfId="9011" xr:uid="{00000000-0005-0000-0000-00005A230000}"/>
    <cellStyle name="Normal 4 7 2 9" xfId="9966" xr:uid="{90911D1B-8E53-4263-99CB-056ACDACF2A7}"/>
    <cellStyle name="Normal 4 7 3" xfId="838" xr:uid="{00000000-0005-0000-0000-00006D030000}"/>
    <cellStyle name="Normal 4 7 3 2" xfId="3073" xr:uid="{00000000-0005-0000-0000-0000280C0000}"/>
    <cellStyle name="Normal 4 7 3 2 2" xfId="7295" xr:uid="{00000000-0005-0000-0000-0000A61C0000}"/>
    <cellStyle name="Normal 4 7 3 2 2 2" xfId="16886" xr:uid="{2635057C-CF14-4965-92FC-C5D57B01C614}"/>
    <cellStyle name="Normal 4 7 3 2 3" xfId="12665" xr:uid="{57729091-74B6-4208-9859-E5B737A3B154}"/>
    <cellStyle name="Normal 4 7 3 3" xfId="5150" xr:uid="{00000000-0005-0000-0000-000045140000}"/>
    <cellStyle name="Normal 4 7 3 3 2" xfId="14741" xr:uid="{836CC3A5-4E03-4244-BF56-B706F1FD46C3}"/>
    <cellStyle name="Normal 4 7 3 4" xfId="9229" xr:uid="{00000000-0005-0000-0000-000034240000}"/>
    <cellStyle name="Normal 4 7 3 5" xfId="10431" xr:uid="{88F29646-FDCD-48CE-A00F-C9734232B371}"/>
    <cellStyle name="Normal 4 7 4" xfId="1256" xr:uid="{00000000-0005-0000-0000-00000F050000}"/>
    <cellStyle name="Normal 4 7 4 2" xfId="3486" xr:uid="{00000000-0005-0000-0000-0000C50D0000}"/>
    <cellStyle name="Normal 4 7 4 2 2" xfId="7708" xr:uid="{00000000-0005-0000-0000-0000431E0000}"/>
    <cellStyle name="Normal 4 7 4 2 2 2" xfId="17299" xr:uid="{142B3BA9-13CA-4CED-AE05-049F57059B9B}"/>
    <cellStyle name="Normal 4 7 4 2 3" xfId="13078" xr:uid="{5D6B2275-77BA-497D-BF74-68E4B466D02E}"/>
    <cellStyle name="Normal 4 7 4 3" xfId="5563" xr:uid="{00000000-0005-0000-0000-0000E2150000}"/>
    <cellStyle name="Normal 4 7 4 3 2" xfId="15154" xr:uid="{7956004A-D0B3-4749-8E7B-467AC05A7B0F}"/>
    <cellStyle name="Normal 4 7 4 4" xfId="10849" xr:uid="{839C92B6-01B5-4F9B-9D87-03A48C620D13}"/>
    <cellStyle name="Normal 4 7 5" xfId="1669" xr:uid="{00000000-0005-0000-0000-0000AC060000}"/>
    <cellStyle name="Normal 4 7 5 2" xfId="3899" xr:uid="{00000000-0005-0000-0000-0000620F0000}"/>
    <cellStyle name="Normal 4 7 5 2 2" xfId="8121" xr:uid="{00000000-0005-0000-0000-0000E01F0000}"/>
    <cellStyle name="Normal 4 7 5 2 2 2" xfId="17712" xr:uid="{15B9D05A-9F72-472C-9121-93F173F015B2}"/>
    <cellStyle name="Normal 4 7 5 2 3" xfId="13491" xr:uid="{5975CED9-3379-470A-A169-647FAD89B2E7}"/>
    <cellStyle name="Normal 4 7 5 3" xfId="5976" xr:uid="{00000000-0005-0000-0000-00007F170000}"/>
    <cellStyle name="Normal 4 7 5 3 2" xfId="15567" xr:uid="{95B09632-7D9F-43D8-BEAE-1752706FE772}"/>
    <cellStyle name="Normal 4 7 5 4" xfId="11262" xr:uid="{4F35FDCA-2DE3-4038-8305-8A9F7D893013}"/>
    <cellStyle name="Normal 4 7 6" xfId="2083" xr:uid="{00000000-0005-0000-0000-00004A080000}"/>
    <cellStyle name="Normal 4 7 6 2" xfId="4312" xr:uid="{00000000-0005-0000-0000-0000FF100000}"/>
    <cellStyle name="Normal 4 7 6 2 2" xfId="8534" xr:uid="{00000000-0005-0000-0000-00007D210000}"/>
    <cellStyle name="Normal 4 7 6 2 2 2" xfId="18125" xr:uid="{61F38F23-1E65-47DC-9A27-4C25F35433EE}"/>
    <cellStyle name="Normal 4 7 6 2 3" xfId="13904" xr:uid="{5EB37BCB-9698-4100-B3A2-B8D0F1B76F5C}"/>
    <cellStyle name="Normal 4 7 6 3" xfId="6389" xr:uid="{00000000-0005-0000-0000-00001C190000}"/>
    <cellStyle name="Normal 4 7 6 3 2" xfId="15980" xr:uid="{E10353A9-F370-4C35-9E70-853611EA8E1E}"/>
    <cellStyle name="Normal 4 7 6 4" xfId="11675" xr:uid="{EB1B3B5E-318B-4CEC-A621-689AE792691B}"/>
    <cellStyle name="Normal 4 7 7" xfId="2519" xr:uid="{00000000-0005-0000-0000-0000FE090000}"/>
    <cellStyle name="Normal 4 7 7 2" xfId="6802" xr:uid="{00000000-0005-0000-0000-0000B91A0000}"/>
    <cellStyle name="Normal 4 7 7 2 2" xfId="16393" xr:uid="{AEC81F1E-3538-48DF-9F7E-2DFA41C05108}"/>
    <cellStyle name="Normal 4 7 7 3" xfId="12111" xr:uid="{14EE4468-C8B7-40D4-83E1-FF79F2165124}"/>
    <cellStyle name="Normal 4 7 8" xfId="4737" xr:uid="{00000000-0005-0000-0000-0000A8120000}"/>
    <cellStyle name="Normal 4 7 8 2" xfId="14328" xr:uid="{489FBA5E-54F3-4525-A40B-F5FBBD909868}"/>
    <cellStyle name="Normal 4 7 9" xfId="8804" xr:uid="{00000000-0005-0000-0000-00008B220000}"/>
    <cellStyle name="Normal 4 8" xfId="369" xr:uid="{00000000-0005-0000-0000-000095010000}"/>
    <cellStyle name="Normal 4 8 2" xfId="840" xr:uid="{00000000-0005-0000-0000-00006F030000}"/>
    <cellStyle name="Normal 4 8 2 2" xfId="3075" xr:uid="{00000000-0005-0000-0000-00002A0C0000}"/>
    <cellStyle name="Normal 4 8 2 2 2" xfId="7297" xr:uid="{00000000-0005-0000-0000-0000A81C0000}"/>
    <cellStyle name="Normal 4 8 2 2 2 2" xfId="16888" xr:uid="{55D6CD79-86E3-4E11-813C-0816C653340A}"/>
    <cellStyle name="Normal 4 8 2 2 3" xfId="12667" xr:uid="{37C3839C-B978-4548-89C3-D0ABB9DE8655}"/>
    <cellStyle name="Normal 4 8 2 3" xfId="5152" xr:uid="{00000000-0005-0000-0000-000047140000}"/>
    <cellStyle name="Normal 4 8 2 3 2" xfId="14743" xr:uid="{F8C3B89F-2773-4FB4-B578-6DCA51A5D272}"/>
    <cellStyle name="Normal 4 8 2 4" xfId="9345" xr:uid="{00000000-0005-0000-0000-0000A8240000}"/>
    <cellStyle name="Normal 4 8 2 5" xfId="10433" xr:uid="{89E823A9-1662-4E93-AE58-BFF92E0AC52E}"/>
    <cellStyle name="Normal 4 8 3" xfId="1258" xr:uid="{00000000-0005-0000-0000-000011050000}"/>
    <cellStyle name="Normal 4 8 3 2" xfId="3488" xr:uid="{00000000-0005-0000-0000-0000C70D0000}"/>
    <cellStyle name="Normal 4 8 3 2 2" xfId="7710" xr:uid="{00000000-0005-0000-0000-0000451E0000}"/>
    <cellStyle name="Normal 4 8 3 2 2 2" xfId="17301" xr:uid="{5A6581B3-F34C-4B24-99FC-7DC2891576BE}"/>
    <cellStyle name="Normal 4 8 3 2 3" xfId="13080" xr:uid="{5D0181BB-6256-41B1-94AD-F21595C33E43}"/>
    <cellStyle name="Normal 4 8 3 3" xfId="5565" xr:uid="{00000000-0005-0000-0000-0000E4150000}"/>
    <cellStyle name="Normal 4 8 3 3 2" xfId="15156" xr:uid="{55851B52-48F3-4DA8-A67C-5632AB1125BF}"/>
    <cellStyle name="Normal 4 8 3 4" xfId="10851" xr:uid="{BAC7FF88-0D58-4438-9A7A-67F4F8697461}"/>
    <cellStyle name="Normal 4 8 4" xfId="1671" xr:uid="{00000000-0005-0000-0000-0000AE060000}"/>
    <cellStyle name="Normal 4 8 4 2" xfId="3901" xr:uid="{00000000-0005-0000-0000-0000640F0000}"/>
    <cellStyle name="Normal 4 8 4 2 2" xfId="8123" xr:uid="{00000000-0005-0000-0000-0000E21F0000}"/>
    <cellStyle name="Normal 4 8 4 2 2 2" xfId="17714" xr:uid="{AB76164A-F9BB-4104-BB67-EEA126F17358}"/>
    <cellStyle name="Normal 4 8 4 2 3" xfId="13493" xr:uid="{69E54BD7-9966-4662-B87C-3B46770CA70D}"/>
    <cellStyle name="Normal 4 8 4 3" xfId="5978" xr:uid="{00000000-0005-0000-0000-000081170000}"/>
    <cellStyle name="Normal 4 8 4 3 2" xfId="15569" xr:uid="{6201BE9E-EF55-454D-A6D9-8DB4D8D0E6C2}"/>
    <cellStyle name="Normal 4 8 4 4" xfId="11264" xr:uid="{B23D46C9-3B4E-47EF-A315-B9CEAB35F4FF}"/>
    <cellStyle name="Normal 4 8 5" xfId="2085" xr:uid="{00000000-0005-0000-0000-00004C080000}"/>
    <cellStyle name="Normal 4 8 5 2" xfId="4314" xr:uid="{00000000-0005-0000-0000-000001110000}"/>
    <cellStyle name="Normal 4 8 5 2 2" xfId="8536" xr:uid="{00000000-0005-0000-0000-00007F210000}"/>
    <cellStyle name="Normal 4 8 5 2 2 2" xfId="18127" xr:uid="{1FA0ACE0-56A3-4BD6-BBD1-FD75C302640A}"/>
    <cellStyle name="Normal 4 8 5 2 3" xfId="13906" xr:uid="{0367CD12-26DB-4638-A7A4-D398448DA497}"/>
    <cellStyle name="Normal 4 8 5 3" xfId="6391" xr:uid="{00000000-0005-0000-0000-00001E190000}"/>
    <cellStyle name="Normal 4 8 5 3 2" xfId="15982" xr:uid="{DC6BB2DB-0D1C-4D4F-B687-E1E5141A9235}"/>
    <cellStyle name="Normal 4 8 5 4" xfId="11677" xr:uid="{E12D9D2C-C8AD-43E6-B648-D9C588C8BAF8}"/>
    <cellStyle name="Normal 4 8 6" xfId="2521" xr:uid="{00000000-0005-0000-0000-0000000A0000}"/>
    <cellStyle name="Normal 4 8 6 2" xfId="6804" xr:uid="{00000000-0005-0000-0000-0000BB1A0000}"/>
    <cellStyle name="Normal 4 8 6 2 2" xfId="16395" xr:uid="{24FC6E7F-18DF-4618-82EA-BBE02ED923D1}"/>
    <cellStyle name="Normal 4 8 6 3" xfId="12113" xr:uid="{29A1A514-328B-48DA-BDEB-101FF675CCD9}"/>
    <cellStyle name="Normal 4 8 7" xfId="4739" xr:uid="{00000000-0005-0000-0000-0000AA120000}"/>
    <cellStyle name="Normal 4 8 7 2" xfId="14330" xr:uid="{E85A0CF1-D382-4110-BD10-788A4D180FBD}"/>
    <cellStyle name="Normal 4 8 8" xfId="8920" xr:uid="{00000000-0005-0000-0000-0000FF220000}"/>
    <cellStyle name="Normal 4 8 9" xfId="9967" xr:uid="{A4AD52E0-F151-4722-9938-AAC63064C1FA}"/>
    <cellStyle name="Normal 4 9" xfId="4676" xr:uid="{00000000-0005-0000-0000-00006B120000}"/>
    <cellStyle name="Normal 4 9 2" xfId="9123" xr:uid="{00000000-0005-0000-0000-0000CA230000}"/>
    <cellStyle name="Normal 4 9 3" xfId="14267" xr:uid="{D2724500-01B8-47B8-962E-6788F735B97A}"/>
    <cellStyle name="Normal 5" xfId="370" xr:uid="{00000000-0005-0000-0000-000096010000}"/>
    <cellStyle name="Normal 5 10" xfId="1672" xr:uid="{00000000-0005-0000-0000-0000AF060000}"/>
    <cellStyle name="Normal 5 10 2" xfId="3902" xr:uid="{00000000-0005-0000-0000-0000650F0000}"/>
    <cellStyle name="Normal 5 10 2 2" xfId="8124" xr:uid="{00000000-0005-0000-0000-0000E31F0000}"/>
    <cellStyle name="Normal 5 10 2 2 2" xfId="17715" xr:uid="{6E1A8EDA-EBA7-4EC3-9044-5172A447F932}"/>
    <cellStyle name="Normal 5 10 2 3" xfId="13494" xr:uid="{A1352125-B08E-4C12-9EE2-A78F1060B709}"/>
    <cellStyle name="Normal 5 10 3" xfId="5979" xr:uid="{00000000-0005-0000-0000-000082170000}"/>
    <cellStyle name="Normal 5 10 3 2" xfId="15570" xr:uid="{96CFC258-C683-4414-8BCB-E9BF17F9DD74}"/>
    <cellStyle name="Normal 5 10 4" xfId="11265" xr:uid="{964B1F75-CD27-405E-9AE7-0605C2D11302}"/>
    <cellStyle name="Normal 5 11" xfId="2086" xr:uid="{00000000-0005-0000-0000-00004D080000}"/>
    <cellStyle name="Normal 5 11 2" xfId="4315" xr:uid="{00000000-0005-0000-0000-000002110000}"/>
    <cellStyle name="Normal 5 11 2 2" xfId="8537" xr:uid="{00000000-0005-0000-0000-000080210000}"/>
    <cellStyle name="Normal 5 11 2 2 2" xfId="18128" xr:uid="{37BACBD2-B996-4F8A-AFE3-3D6E27C48783}"/>
    <cellStyle name="Normal 5 11 2 3" xfId="13907" xr:uid="{C2BE1B9B-32B1-4CDC-8199-4BE62B3EA0E2}"/>
    <cellStyle name="Normal 5 11 3" xfId="6392" xr:uid="{00000000-0005-0000-0000-00001F190000}"/>
    <cellStyle name="Normal 5 11 3 2" xfId="15983" xr:uid="{0C7746FE-986A-4A30-A8B5-ECDA99A06FCF}"/>
    <cellStyle name="Normal 5 11 4" xfId="11678" xr:uid="{3319CC44-EACD-4D3B-B573-BD49EAF7C06C}"/>
    <cellStyle name="Normal 5 12" xfId="2522" xr:uid="{00000000-0005-0000-0000-0000010A0000}"/>
    <cellStyle name="Normal 5 12 2" xfId="6805" xr:uid="{00000000-0005-0000-0000-0000BC1A0000}"/>
    <cellStyle name="Normal 5 12 2 2" xfId="16396" xr:uid="{681FF92A-EE9F-4FB7-997A-58F39BC696F0}"/>
    <cellStyle name="Normal 5 12 3" xfId="12114" xr:uid="{BFB2DECD-34DF-4755-BDA2-0680EDC6A2AC}"/>
    <cellStyle name="Normal 5 13" xfId="4740" xr:uid="{00000000-0005-0000-0000-0000AB120000}"/>
    <cellStyle name="Normal 5 13 2" xfId="14331" xr:uid="{872647CC-CD1E-489F-9B6A-E073049937F6}"/>
    <cellStyle name="Normal 5 14" xfId="8702" xr:uid="{00000000-0005-0000-0000-000025220000}"/>
    <cellStyle name="Normal 5 15" xfId="9968" xr:uid="{131F97C9-9AA1-49E2-AA8E-CC536411C4C8}"/>
    <cellStyle name="Normal 5 2" xfId="371" xr:uid="{00000000-0005-0000-0000-000097010000}"/>
    <cellStyle name="Normal 5 2 10" xfId="2087" xr:uid="{00000000-0005-0000-0000-00004E080000}"/>
    <cellStyle name="Normal 5 2 10 2" xfId="4316" xr:uid="{00000000-0005-0000-0000-000003110000}"/>
    <cellStyle name="Normal 5 2 10 2 2" xfId="8538" xr:uid="{00000000-0005-0000-0000-000081210000}"/>
    <cellStyle name="Normal 5 2 10 2 2 2" xfId="18129" xr:uid="{5485327A-1B6D-4571-BF16-6713C7F3F734}"/>
    <cellStyle name="Normal 5 2 10 2 3" xfId="13908" xr:uid="{8835E176-42B2-4DF0-B480-EA5DCAB5FE55}"/>
    <cellStyle name="Normal 5 2 10 3" xfId="6393" xr:uid="{00000000-0005-0000-0000-000020190000}"/>
    <cellStyle name="Normal 5 2 10 3 2" xfId="15984" xr:uid="{BF994413-BF31-4C34-A972-45BDFBDF8F05}"/>
    <cellStyle name="Normal 5 2 10 4" xfId="11679" xr:uid="{BD62F4C6-5815-4F6C-BA5C-8C843312E157}"/>
    <cellStyle name="Normal 5 2 11" xfId="2523" xr:uid="{00000000-0005-0000-0000-0000020A0000}"/>
    <cellStyle name="Normal 5 2 11 2" xfId="6806" xr:uid="{00000000-0005-0000-0000-0000BD1A0000}"/>
    <cellStyle name="Normal 5 2 11 2 2" xfId="16397" xr:uid="{39D015A9-3BEF-4822-93D5-B5D66AEAF6BE}"/>
    <cellStyle name="Normal 5 2 11 3" xfId="12115" xr:uid="{34446A73-6486-4FC6-B6F8-1A5B512415F1}"/>
    <cellStyle name="Normal 5 2 12" xfId="4741" xr:uid="{00000000-0005-0000-0000-0000AC120000}"/>
    <cellStyle name="Normal 5 2 12 2" xfId="14332" xr:uid="{7471FB97-7E1E-471E-BC23-51155B819D11}"/>
    <cellStyle name="Normal 5 2 13" xfId="8705" xr:uid="{00000000-0005-0000-0000-000028220000}"/>
    <cellStyle name="Normal 5 2 14" xfId="9969" xr:uid="{2BF1FD9C-7C7B-4FC8-A371-4E564747595E}"/>
    <cellStyle name="Normal 5 2 2" xfId="372" xr:uid="{00000000-0005-0000-0000-000098010000}"/>
    <cellStyle name="Normal 5 2 2 10" xfId="2524" xr:uid="{00000000-0005-0000-0000-0000030A0000}"/>
    <cellStyle name="Normal 5 2 2 10 2" xfId="6807" xr:uid="{00000000-0005-0000-0000-0000BE1A0000}"/>
    <cellStyle name="Normal 5 2 2 10 2 2" xfId="16398" xr:uid="{9468E63F-CE1C-4DAE-886C-1619AC37AE71}"/>
    <cellStyle name="Normal 5 2 2 10 3" xfId="12116" xr:uid="{511EAD71-66C0-4388-83D3-7FBCD0CF46BA}"/>
    <cellStyle name="Normal 5 2 2 11" xfId="4742" xr:uid="{00000000-0005-0000-0000-0000AD120000}"/>
    <cellStyle name="Normal 5 2 2 11 2" xfId="14333" xr:uid="{2E7B08D4-9668-4C90-B6F2-09597EB581B3}"/>
    <cellStyle name="Normal 5 2 2 12" xfId="8714" xr:uid="{00000000-0005-0000-0000-000031220000}"/>
    <cellStyle name="Normal 5 2 2 13" xfId="9970" xr:uid="{6E2A7777-6909-404E-BB52-219904374728}"/>
    <cellStyle name="Normal 5 2 2 2" xfId="373" xr:uid="{00000000-0005-0000-0000-000099010000}"/>
    <cellStyle name="Normal 5 2 2 2 10" xfId="4743" xr:uid="{00000000-0005-0000-0000-0000AE120000}"/>
    <cellStyle name="Normal 5 2 2 2 10 2" xfId="14334" xr:uid="{22F0BE9A-65BC-4340-A68D-9D3B6418F18F}"/>
    <cellStyle name="Normal 5 2 2 2 11" xfId="8732" xr:uid="{00000000-0005-0000-0000-000043220000}"/>
    <cellStyle name="Normal 5 2 2 2 12" xfId="9971" xr:uid="{F64551C1-F590-4CA0-A3F0-B01BB7F134C1}"/>
    <cellStyle name="Normal 5 2 2 2 2" xfId="374" xr:uid="{00000000-0005-0000-0000-00009A010000}"/>
    <cellStyle name="Normal 5 2 2 2 2 10" xfId="8790" xr:uid="{00000000-0005-0000-0000-00007D220000}"/>
    <cellStyle name="Normal 5 2 2 2 2 11" xfId="9972" xr:uid="{92746145-CABC-4756-ADF1-8BC40C1CBCFD}"/>
    <cellStyle name="Normal 5 2 2 2 2 2" xfId="375" xr:uid="{00000000-0005-0000-0000-00009B010000}"/>
    <cellStyle name="Normal 5 2 2 2 2 2 10" xfId="9973" xr:uid="{C3C619FD-7D89-4BDB-ABE6-A8636DE1B068}"/>
    <cellStyle name="Normal 5 2 2 2 2 2 2" xfId="376" xr:uid="{00000000-0005-0000-0000-00009C010000}"/>
    <cellStyle name="Normal 5 2 2 2 2 2 2 2" xfId="847" xr:uid="{00000000-0005-0000-0000-000076030000}"/>
    <cellStyle name="Normal 5 2 2 2 2 2 2 2 2" xfId="3082" xr:uid="{00000000-0005-0000-0000-0000310C0000}"/>
    <cellStyle name="Normal 5 2 2 2 2 2 2 2 2 2" xfId="7304" xr:uid="{00000000-0005-0000-0000-0000AF1C0000}"/>
    <cellStyle name="Normal 5 2 2 2 2 2 2 2 2 2 2" xfId="16895" xr:uid="{B9AA557B-5B37-454D-A1E6-432F0C18842D}"/>
    <cellStyle name="Normal 5 2 2 2 2 2 2 2 2 3" xfId="12674" xr:uid="{EE948DC2-AE63-4DB3-864E-EB2B0B0AF1C7}"/>
    <cellStyle name="Normal 5 2 2 2 2 2 2 2 3" xfId="5159" xr:uid="{00000000-0005-0000-0000-00004E140000}"/>
    <cellStyle name="Normal 5 2 2 2 2 2 2 2 3 2" xfId="14750" xr:uid="{945E0138-5279-4244-A0CB-35F29ABA94CD}"/>
    <cellStyle name="Normal 5 2 2 2 2 2 2 2 4" xfId="9525" xr:uid="{00000000-0005-0000-0000-00005C250000}"/>
    <cellStyle name="Normal 5 2 2 2 2 2 2 2 5" xfId="10440" xr:uid="{9910D837-24CE-4F45-A117-E4BE44760759}"/>
    <cellStyle name="Normal 5 2 2 2 2 2 2 3" xfId="1265" xr:uid="{00000000-0005-0000-0000-000018050000}"/>
    <cellStyle name="Normal 5 2 2 2 2 2 2 3 2" xfId="3495" xr:uid="{00000000-0005-0000-0000-0000CE0D0000}"/>
    <cellStyle name="Normal 5 2 2 2 2 2 2 3 2 2" xfId="7717" xr:uid="{00000000-0005-0000-0000-00004C1E0000}"/>
    <cellStyle name="Normal 5 2 2 2 2 2 2 3 2 2 2" xfId="17308" xr:uid="{E0ADD64A-1B69-4B06-8D19-0EDC103DFFD1}"/>
    <cellStyle name="Normal 5 2 2 2 2 2 2 3 2 3" xfId="13087" xr:uid="{FFB8E6D5-CDEC-48BE-83EE-E7BFF0741CD3}"/>
    <cellStyle name="Normal 5 2 2 2 2 2 2 3 3" xfId="5572" xr:uid="{00000000-0005-0000-0000-0000EB150000}"/>
    <cellStyle name="Normal 5 2 2 2 2 2 2 3 3 2" xfId="15163" xr:uid="{79AD1D96-2522-4974-A256-CEF9A7C64E2F}"/>
    <cellStyle name="Normal 5 2 2 2 2 2 2 3 4" xfId="10858" xr:uid="{4E4229CD-4552-4F93-8A7B-350D9EDBCBD3}"/>
    <cellStyle name="Normal 5 2 2 2 2 2 2 4" xfId="1678" xr:uid="{00000000-0005-0000-0000-0000B5060000}"/>
    <cellStyle name="Normal 5 2 2 2 2 2 2 4 2" xfId="3908" xr:uid="{00000000-0005-0000-0000-00006B0F0000}"/>
    <cellStyle name="Normal 5 2 2 2 2 2 2 4 2 2" xfId="8130" xr:uid="{00000000-0005-0000-0000-0000E91F0000}"/>
    <cellStyle name="Normal 5 2 2 2 2 2 2 4 2 2 2" xfId="17721" xr:uid="{E7F47441-F825-4274-87E9-9404FB6797B9}"/>
    <cellStyle name="Normal 5 2 2 2 2 2 2 4 2 3" xfId="13500" xr:uid="{14EAE7CA-907E-47C9-813A-46217D6EC265}"/>
    <cellStyle name="Normal 5 2 2 2 2 2 2 4 3" xfId="5985" xr:uid="{00000000-0005-0000-0000-000088170000}"/>
    <cellStyle name="Normal 5 2 2 2 2 2 2 4 3 2" xfId="15576" xr:uid="{FFF8FE49-C9CE-4343-824C-7C5EB2945106}"/>
    <cellStyle name="Normal 5 2 2 2 2 2 2 4 4" xfId="11271" xr:uid="{3EBDB7AA-A5B3-4A91-93C2-5979D85E7242}"/>
    <cellStyle name="Normal 5 2 2 2 2 2 2 5" xfId="2092" xr:uid="{00000000-0005-0000-0000-000053080000}"/>
    <cellStyle name="Normal 5 2 2 2 2 2 2 5 2" xfId="4321" xr:uid="{00000000-0005-0000-0000-000008110000}"/>
    <cellStyle name="Normal 5 2 2 2 2 2 2 5 2 2" xfId="8543" xr:uid="{00000000-0005-0000-0000-000086210000}"/>
    <cellStyle name="Normal 5 2 2 2 2 2 2 5 2 2 2" xfId="18134" xr:uid="{8EC558D6-28E3-4516-B445-924E8F97B366}"/>
    <cellStyle name="Normal 5 2 2 2 2 2 2 5 2 3" xfId="13913" xr:uid="{E265D057-CFA8-4796-8FBA-DC4EE767E8BB}"/>
    <cellStyle name="Normal 5 2 2 2 2 2 2 5 3" xfId="6398" xr:uid="{00000000-0005-0000-0000-000025190000}"/>
    <cellStyle name="Normal 5 2 2 2 2 2 2 5 3 2" xfId="15989" xr:uid="{A56F1529-7DE6-466C-88F6-20E13DF716E3}"/>
    <cellStyle name="Normal 5 2 2 2 2 2 2 5 4" xfId="11684" xr:uid="{F48B5C76-A1A4-4F69-BA35-05C0C2DD8790}"/>
    <cellStyle name="Normal 5 2 2 2 2 2 2 6" xfId="2528" xr:uid="{00000000-0005-0000-0000-0000070A0000}"/>
    <cellStyle name="Normal 5 2 2 2 2 2 2 6 2" xfId="6811" xr:uid="{00000000-0005-0000-0000-0000C21A0000}"/>
    <cellStyle name="Normal 5 2 2 2 2 2 2 6 2 2" xfId="16402" xr:uid="{D35DA745-B770-42F5-B37E-B6EA0AC78E6A}"/>
    <cellStyle name="Normal 5 2 2 2 2 2 2 6 3" xfId="12120" xr:uid="{CB7923C5-8524-41B8-8EC2-D3262104DB57}"/>
    <cellStyle name="Normal 5 2 2 2 2 2 2 7" xfId="4746" xr:uid="{00000000-0005-0000-0000-0000B1120000}"/>
    <cellStyle name="Normal 5 2 2 2 2 2 2 7 2" xfId="14337" xr:uid="{68C908D9-F6B0-4E4F-838C-D8A34926E0C7}"/>
    <cellStyle name="Normal 5 2 2 2 2 2 2 8" xfId="9100" xr:uid="{00000000-0005-0000-0000-0000B3230000}"/>
    <cellStyle name="Normal 5 2 2 2 2 2 2 9" xfId="9974" xr:uid="{4B20D3E1-985B-4716-A340-3D92B90FDED0}"/>
    <cellStyle name="Normal 5 2 2 2 2 2 3" xfId="846" xr:uid="{00000000-0005-0000-0000-000075030000}"/>
    <cellStyle name="Normal 5 2 2 2 2 2 3 2" xfId="3081" xr:uid="{00000000-0005-0000-0000-0000300C0000}"/>
    <cellStyle name="Normal 5 2 2 2 2 2 3 2 2" xfId="7303" xr:uid="{00000000-0005-0000-0000-0000AE1C0000}"/>
    <cellStyle name="Normal 5 2 2 2 2 2 3 2 2 2" xfId="16894" xr:uid="{FCAE2F0A-98FD-4965-9692-285EB2DED8E0}"/>
    <cellStyle name="Normal 5 2 2 2 2 2 3 2 3" xfId="12673" xr:uid="{C0D2CD2B-610E-4535-B218-2FA0C2EA13C7}"/>
    <cellStyle name="Normal 5 2 2 2 2 2 3 3" xfId="5158" xr:uid="{00000000-0005-0000-0000-00004D140000}"/>
    <cellStyle name="Normal 5 2 2 2 2 2 3 3 2" xfId="14749" xr:uid="{2B1320FB-F625-48F7-9D43-6DB46E22EF3A}"/>
    <cellStyle name="Normal 5 2 2 2 2 2 3 4" xfId="9318" xr:uid="{00000000-0005-0000-0000-00008D240000}"/>
    <cellStyle name="Normal 5 2 2 2 2 2 3 5" xfId="10439" xr:uid="{60005AD3-45C2-4995-B883-5666C420AA99}"/>
    <cellStyle name="Normal 5 2 2 2 2 2 4" xfId="1264" xr:uid="{00000000-0005-0000-0000-000017050000}"/>
    <cellStyle name="Normal 5 2 2 2 2 2 4 2" xfId="3494" xr:uid="{00000000-0005-0000-0000-0000CD0D0000}"/>
    <cellStyle name="Normal 5 2 2 2 2 2 4 2 2" xfId="7716" xr:uid="{00000000-0005-0000-0000-00004B1E0000}"/>
    <cellStyle name="Normal 5 2 2 2 2 2 4 2 2 2" xfId="17307" xr:uid="{567B9400-D0CF-4B00-B394-AEF01BB6B82B}"/>
    <cellStyle name="Normal 5 2 2 2 2 2 4 2 3" xfId="13086" xr:uid="{010A7BEA-6B3F-498F-9339-8D265D919E43}"/>
    <cellStyle name="Normal 5 2 2 2 2 2 4 3" xfId="5571" xr:uid="{00000000-0005-0000-0000-0000EA150000}"/>
    <cellStyle name="Normal 5 2 2 2 2 2 4 3 2" xfId="15162" xr:uid="{A36B83F8-ED92-468D-9A1B-4E562591E031}"/>
    <cellStyle name="Normal 5 2 2 2 2 2 4 4" xfId="10857" xr:uid="{82C79434-03DC-4144-A568-4042B04C0797}"/>
    <cellStyle name="Normal 5 2 2 2 2 2 5" xfId="1677" xr:uid="{00000000-0005-0000-0000-0000B4060000}"/>
    <cellStyle name="Normal 5 2 2 2 2 2 5 2" xfId="3907" xr:uid="{00000000-0005-0000-0000-00006A0F0000}"/>
    <cellStyle name="Normal 5 2 2 2 2 2 5 2 2" xfId="8129" xr:uid="{00000000-0005-0000-0000-0000E81F0000}"/>
    <cellStyle name="Normal 5 2 2 2 2 2 5 2 2 2" xfId="17720" xr:uid="{470823DC-ACD5-4AEB-A8EA-9A97449E1AE6}"/>
    <cellStyle name="Normal 5 2 2 2 2 2 5 2 3" xfId="13499" xr:uid="{A53A1E73-9D41-40B2-88EA-532F96DD1DDF}"/>
    <cellStyle name="Normal 5 2 2 2 2 2 5 3" xfId="5984" xr:uid="{00000000-0005-0000-0000-000087170000}"/>
    <cellStyle name="Normal 5 2 2 2 2 2 5 3 2" xfId="15575" xr:uid="{6C38A74C-6A3C-4ECF-AD21-364754F8F98E}"/>
    <cellStyle name="Normal 5 2 2 2 2 2 5 4" xfId="11270" xr:uid="{A8713711-E479-401C-93B2-3677F9BD8E62}"/>
    <cellStyle name="Normal 5 2 2 2 2 2 6" xfId="2091" xr:uid="{00000000-0005-0000-0000-000052080000}"/>
    <cellStyle name="Normal 5 2 2 2 2 2 6 2" xfId="4320" xr:uid="{00000000-0005-0000-0000-000007110000}"/>
    <cellStyle name="Normal 5 2 2 2 2 2 6 2 2" xfId="8542" xr:uid="{00000000-0005-0000-0000-000085210000}"/>
    <cellStyle name="Normal 5 2 2 2 2 2 6 2 2 2" xfId="18133" xr:uid="{A2977BE5-2128-4EE0-BCCA-A0DDEB71B814}"/>
    <cellStyle name="Normal 5 2 2 2 2 2 6 2 3" xfId="13912" xr:uid="{00AE2AAC-233A-4716-A586-05AB89C9F023}"/>
    <cellStyle name="Normal 5 2 2 2 2 2 6 3" xfId="6397" xr:uid="{00000000-0005-0000-0000-000024190000}"/>
    <cellStyle name="Normal 5 2 2 2 2 2 6 3 2" xfId="15988" xr:uid="{AA2BFC28-AEF2-406C-804B-5C538838F82D}"/>
    <cellStyle name="Normal 5 2 2 2 2 2 6 4" xfId="11683" xr:uid="{10E18B83-C341-4FDC-ADA1-3FC19573E6BD}"/>
    <cellStyle name="Normal 5 2 2 2 2 2 7" xfId="2527" xr:uid="{00000000-0005-0000-0000-0000060A0000}"/>
    <cellStyle name="Normal 5 2 2 2 2 2 7 2" xfId="6810" xr:uid="{00000000-0005-0000-0000-0000C11A0000}"/>
    <cellStyle name="Normal 5 2 2 2 2 2 7 2 2" xfId="16401" xr:uid="{30C8C4F8-C50A-4A2A-9EF0-D4BEEAEA4758}"/>
    <cellStyle name="Normal 5 2 2 2 2 2 7 3" xfId="12119" xr:uid="{AA74C1A6-5DAA-435F-BC74-7BACD07233C7}"/>
    <cellStyle name="Normal 5 2 2 2 2 2 8" xfId="4745" xr:uid="{00000000-0005-0000-0000-0000B0120000}"/>
    <cellStyle name="Normal 5 2 2 2 2 2 8 2" xfId="14336" xr:uid="{A1E48AAF-24BC-4652-ADE9-EC408C40421A}"/>
    <cellStyle name="Normal 5 2 2 2 2 2 9" xfId="8893" xr:uid="{00000000-0005-0000-0000-0000E4220000}"/>
    <cellStyle name="Normal 5 2 2 2 2 3" xfId="377" xr:uid="{00000000-0005-0000-0000-00009D010000}"/>
    <cellStyle name="Normal 5 2 2 2 2 3 2" xfId="848" xr:uid="{00000000-0005-0000-0000-000077030000}"/>
    <cellStyle name="Normal 5 2 2 2 2 3 2 2" xfId="3083" xr:uid="{00000000-0005-0000-0000-0000320C0000}"/>
    <cellStyle name="Normal 5 2 2 2 2 3 2 2 2" xfId="7305" xr:uid="{00000000-0005-0000-0000-0000B01C0000}"/>
    <cellStyle name="Normal 5 2 2 2 2 3 2 2 2 2" xfId="16896" xr:uid="{D1BEB390-3E55-4E56-BDD3-64FF2DBD3F71}"/>
    <cellStyle name="Normal 5 2 2 2 2 3 2 2 3" xfId="12675" xr:uid="{A2483ACC-BF27-407E-83D1-4447C298768A}"/>
    <cellStyle name="Normal 5 2 2 2 2 3 2 3" xfId="5160" xr:uid="{00000000-0005-0000-0000-00004F140000}"/>
    <cellStyle name="Normal 5 2 2 2 2 3 2 3 2" xfId="14751" xr:uid="{1ED34108-94D6-4414-9104-D28C89A5EA24}"/>
    <cellStyle name="Normal 5 2 2 2 2 3 2 4" xfId="9422" xr:uid="{00000000-0005-0000-0000-0000F5240000}"/>
    <cellStyle name="Normal 5 2 2 2 2 3 2 5" xfId="10441" xr:uid="{8238C5BA-604A-49B8-A09C-3CAE8BE458B0}"/>
    <cellStyle name="Normal 5 2 2 2 2 3 3" xfId="1266" xr:uid="{00000000-0005-0000-0000-000019050000}"/>
    <cellStyle name="Normal 5 2 2 2 2 3 3 2" xfId="3496" xr:uid="{00000000-0005-0000-0000-0000CF0D0000}"/>
    <cellStyle name="Normal 5 2 2 2 2 3 3 2 2" xfId="7718" xr:uid="{00000000-0005-0000-0000-00004D1E0000}"/>
    <cellStyle name="Normal 5 2 2 2 2 3 3 2 2 2" xfId="17309" xr:uid="{7B1C45E9-B0EF-4D96-811A-204F39D1331A}"/>
    <cellStyle name="Normal 5 2 2 2 2 3 3 2 3" xfId="13088" xr:uid="{99461C0C-843D-455B-99FF-9D71F72A5F40}"/>
    <cellStyle name="Normal 5 2 2 2 2 3 3 3" xfId="5573" xr:uid="{00000000-0005-0000-0000-0000EC150000}"/>
    <cellStyle name="Normal 5 2 2 2 2 3 3 3 2" xfId="15164" xr:uid="{5ED55856-59D7-4F86-8C69-04841E7D276D}"/>
    <cellStyle name="Normal 5 2 2 2 2 3 3 4" xfId="10859" xr:uid="{6EEE22DB-C171-4BE9-9CA4-1B21D0C86A66}"/>
    <cellStyle name="Normal 5 2 2 2 2 3 4" xfId="1679" xr:uid="{00000000-0005-0000-0000-0000B6060000}"/>
    <cellStyle name="Normal 5 2 2 2 2 3 4 2" xfId="3909" xr:uid="{00000000-0005-0000-0000-00006C0F0000}"/>
    <cellStyle name="Normal 5 2 2 2 2 3 4 2 2" xfId="8131" xr:uid="{00000000-0005-0000-0000-0000EA1F0000}"/>
    <cellStyle name="Normal 5 2 2 2 2 3 4 2 2 2" xfId="17722" xr:uid="{C8F8A44B-8A2F-40E4-B423-97A14DFB157E}"/>
    <cellStyle name="Normal 5 2 2 2 2 3 4 2 3" xfId="13501" xr:uid="{5AF1A5EC-11DB-4F4D-AE35-02647A332509}"/>
    <cellStyle name="Normal 5 2 2 2 2 3 4 3" xfId="5986" xr:uid="{00000000-0005-0000-0000-000089170000}"/>
    <cellStyle name="Normal 5 2 2 2 2 3 4 3 2" xfId="15577" xr:uid="{C2192A52-78FD-48D4-BF09-1F94B804E0AE}"/>
    <cellStyle name="Normal 5 2 2 2 2 3 4 4" xfId="11272" xr:uid="{C20D81A3-2731-4D05-ACA9-5BDF0E8277F3}"/>
    <cellStyle name="Normal 5 2 2 2 2 3 5" xfId="2093" xr:uid="{00000000-0005-0000-0000-000054080000}"/>
    <cellStyle name="Normal 5 2 2 2 2 3 5 2" xfId="4322" xr:uid="{00000000-0005-0000-0000-000009110000}"/>
    <cellStyle name="Normal 5 2 2 2 2 3 5 2 2" xfId="8544" xr:uid="{00000000-0005-0000-0000-000087210000}"/>
    <cellStyle name="Normal 5 2 2 2 2 3 5 2 2 2" xfId="18135" xr:uid="{0CE4A822-DB4F-43E4-981F-4C12B68EF084}"/>
    <cellStyle name="Normal 5 2 2 2 2 3 5 2 3" xfId="13914" xr:uid="{F2C5C85A-098D-4781-8A3C-A958D85910F6}"/>
    <cellStyle name="Normal 5 2 2 2 2 3 5 3" xfId="6399" xr:uid="{00000000-0005-0000-0000-000026190000}"/>
    <cellStyle name="Normal 5 2 2 2 2 3 5 3 2" xfId="15990" xr:uid="{05288B07-0421-4DD9-9440-C16E4A56E177}"/>
    <cellStyle name="Normal 5 2 2 2 2 3 5 4" xfId="11685" xr:uid="{9609A2A9-F99A-4152-85C0-C08C1A674BE1}"/>
    <cellStyle name="Normal 5 2 2 2 2 3 6" xfId="2529" xr:uid="{00000000-0005-0000-0000-0000080A0000}"/>
    <cellStyle name="Normal 5 2 2 2 2 3 6 2" xfId="6812" xr:uid="{00000000-0005-0000-0000-0000C31A0000}"/>
    <cellStyle name="Normal 5 2 2 2 2 3 6 2 2" xfId="16403" xr:uid="{4C575339-B608-4FC6-8468-0B7715BE6085}"/>
    <cellStyle name="Normal 5 2 2 2 2 3 6 3" xfId="12121" xr:uid="{4EA818EB-D353-4DAA-8F6F-D15D1147ED21}"/>
    <cellStyle name="Normal 5 2 2 2 2 3 7" xfId="4747" xr:uid="{00000000-0005-0000-0000-0000B2120000}"/>
    <cellStyle name="Normal 5 2 2 2 2 3 7 2" xfId="14338" xr:uid="{AC198663-E488-4F84-882E-3C3DD892F02D}"/>
    <cellStyle name="Normal 5 2 2 2 2 3 8" xfId="8997" xr:uid="{00000000-0005-0000-0000-00004C230000}"/>
    <cellStyle name="Normal 5 2 2 2 2 3 9" xfId="9975" xr:uid="{A4366739-7821-4DDA-9811-D5AB8BFDC0E0}"/>
    <cellStyle name="Normal 5 2 2 2 2 4" xfId="845" xr:uid="{00000000-0005-0000-0000-000074030000}"/>
    <cellStyle name="Normal 5 2 2 2 2 4 2" xfId="3080" xr:uid="{00000000-0005-0000-0000-00002F0C0000}"/>
    <cellStyle name="Normal 5 2 2 2 2 4 2 2" xfId="7302" xr:uid="{00000000-0005-0000-0000-0000AD1C0000}"/>
    <cellStyle name="Normal 5 2 2 2 2 4 2 2 2" xfId="16893" xr:uid="{373117BF-3C50-4959-82F5-54D7DA4D6937}"/>
    <cellStyle name="Normal 5 2 2 2 2 4 2 3" xfId="12672" xr:uid="{99438E8E-0B1E-41AB-BCBD-7D3736B92FEA}"/>
    <cellStyle name="Normal 5 2 2 2 2 4 3" xfId="5157" xr:uid="{00000000-0005-0000-0000-00004C140000}"/>
    <cellStyle name="Normal 5 2 2 2 2 4 3 2" xfId="14748" xr:uid="{8029B68F-99B0-4F29-A321-4131BAF2CF45}"/>
    <cellStyle name="Normal 5 2 2 2 2 4 4" xfId="9215" xr:uid="{00000000-0005-0000-0000-000026240000}"/>
    <cellStyle name="Normal 5 2 2 2 2 4 5" xfId="10438" xr:uid="{021956A8-BA0C-4DA2-B7C5-A89E49F5F888}"/>
    <cellStyle name="Normal 5 2 2 2 2 5" xfId="1263" xr:uid="{00000000-0005-0000-0000-000016050000}"/>
    <cellStyle name="Normal 5 2 2 2 2 5 2" xfId="3493" xr:uid="{00000000-0005-0000-0000-0000CC0D0000}"/>
    <cellStyle name="Normal 5 2 2 2 2 5 2 2" xfId="7715" xr:uid="{00000000-0005-0000-0000-00004A1E0000}"/>
    <cellStyle name="Normal 5 2 2 2 2 5 2 2 2" xfId="17306" xr:uid="{F22E2C4A-A166-4AC3-BD6B-5EF00FC1349E}"/>
    <cellStyle name="Normal 5 2 2 2 2 5 2 3" xfId="13085" xr:uid="{D59CA8DD-BD29-4A4E-85D1-08B45F8A77FF}"/>
    <cellStyle name="Normal 5 2 2 2 2 5 3" xfId="5570" xr:uid="{00000000-0005-0000-0000-0000E9150000}"/>
    <cellStyle name="Normal 5 2 2 2 2 5 3 2" xfId="15161" xr:uid="{B2E05AEB-F213-4DD0-B369-F73F0CD65AE3}"/>
    <cellStyle name="Normal 5 2 2 2 2 5 4" xfId="10856" xr:uid="{8436D7EB-16D0-4613-9B89-A596C34A5861}"/>
    <cellStyle name="Normal 5 2 2 2 2 6" xfId="1676" xr:uid="{00000000-0005-0000-0000-0000B3060000}"/>
    <cellStyle name="Normal 5 2 2 2 2 6 2" xfId="3906" xr:uid="{00000000-0005-0000-0000-0000690F0000}"/>
    <cellStyle name="Normal 5 2 2 2 2 6 2 2" xfId="8128" xr:uid="{00000000-0005-0000-0000-0000E71F0000}"/>
    <cellStyle name="Normal 5 2 2 2 2 6 2 2 2" xfId="17719" xr:uid="{87184F70-0DB2-47DA-9F19-B67F280BCB46}"/>
    <cellStyle name="Normal 5 2 2 2 2 6 2 3" xfId="13498" xr:uid="{776CECB0-94A7-4DF0-8CA9-BBC4B7B046DA}"/>
    <cellStyle name="Normal 5 2 2 2 2 6 3" xfId="5983" xr:uid="{00000000-0005-0000-0000-000086170000}"/>
    <cellStyle name="Normal 5 2 2 2 2 6 3 2" xfId="15574" xr:uid="{2F836B5E-5842-4A74-A046-E05D8582FCF8}"/>
    <cellStyle name="Normal 5 2 2 2 2 6 4" xfId="11269" xr:uid="{0615C55B-3899-47B9-9E04-FAFFA3A89D06}"/>
    <cellStyle name="Normal 5 2 2 2 2 7" xfId="2090" xr:uid="{00000000-0005-0000-0000-000051080000}"/>
    <cellStyle name="Normal 5 2 2 2 2 7 2" xfId="4319" xr:uid="{00000000-0005-0000-0000-000006110000}"/>
    <cellStyle name="Normal 5 2 2 2 2 7 2 2" xfId="8541" xr:uid="{00000000-0005-0000-0000-000084210000}"/>
    <cellStyle name="Normal 5 2 2 2 2 7 2 2 2" xfId="18132" xr:uid="{7EF3048C-CA31-408C-B787-39C9FA9A3284}"/>
    <cellStyle name="Normal 5 2 2 2 2 7 2 3" xfId="13911" xr:uid="{7E898F10-6A14-4A5F-BE2F-A912375DBFBC}"/>
    <cellStyle name="Normal 5 2 2 2 2 7 3" xfId="6396" xr:uid="{00000000-0005-0000-0000-000023190000}"/>
    <cellStyle name="Normal 5 2 2 2 2 7 3 2" xfId="15987" xr:uid="{93A51A5C-0C89-4B63-84D7-C1029F4FDE3A}"/>
    <cellStyle name="Normal 5 2 2 2 2 7 4" xfId="11682" xr:uid="{7D934B42-32B4-4408-94B5-9BAC0F15A5A8}"/>
    <cellStyle name="Normal 5 2 2 2 2 8" xfId="2526" xr:uid="{00000000-0005-0000-0000-0000050A0000}"/>
    <cellStyle name="Normal 5 2 2 2 2 8 2" xfId="6809" xr:uid="{00000000-0005-0000-0000-0000C01A0000}"/>
    <cellStyle name="Normal 5 2 2 2 2 8 2 2" xfId="16400" xr:uid="{98645071-2A88-411C-8875-A70354BD3C1F}"/>
    <cellStyle name="Normal 5 2 2 2 2 8 3" xfId="12118" xr:uid="{0189A5AB-17C4-464A-857B-8AF5A4064A75}"/>
    <cellStyle name="Normal 5 2 2 2 2 9" xfId="4744" xr:uid="{00000000-0005-0000-0000-0000AF120000}"/>
    <cellStyle name="Normal 5 2 2 2 2 9 2" xfId="14335" xr:uid="{C2EFD36D-187B-4E19-94E7-5A1023640BCC}"/>
    <cellStyle name="Normal 5 2 2 2 3" xfId="378" xr:uid="{00000000-0005-0000-0000-00009E010000}"/>
    <cellStyle name="Normal 5 2 2 2 3 10" xfId="9976" xr:uid="{0EE0D9E5-2A41-469D-BBE8-74145B83E331}"/>
    <cellStyle name="Normal 5 2 2 2 3 2" xfId="379" xr:uid="{00000000-0005-0000-0000-00009F010000}"/>
    <cellStyle name="Normal 5 2 2 2 3 2 2" xfId="850" xr:uid="{00000000-0005-0000-0000-000079030000}"/>
    <cellStyle name="Normal 5 2 2 2 3 2 2 2" xfId="3085" xr:uid="{00000000-0005-0000-0000-0000340C0000}"/>
    <cellStyle name="Normal 5 2 2 2 3 2 2 2 2" xfId="7307" xr:uid="{00000000-0005-0000-0000-0000B21C0000}"/>
    <cellStyle name="Normal 5 2 2 2 3 2 2 2 2 2" xfId="16898" xr:uid="{B81CA419-4503-4296-B5AD-28463C8C54EB}"/>
    <cellStyle name="Normal 5 2 2 2 3 2 2 2 3" xfId="12677" xr:uid="{658BFF3B-44FB-40DF-A031-C0C251E67BC1}"/>
    <cellStyle name="Normal 5 2 2 2 3 2 2 3" xfId="5162" xr:uid="{00000000-0005-0000-0000-000051140000}"/>
    <cellStyle name="Normal 5 2 2 2 3 2 2 3 2" xfId="14753" xr:uid="{3E923E56-1269-4E08-B616-4454A3245E16}"/>
    <cellStyle name="Normal 5 2 2 2 3 2 2 4" xfId="9467" xr:uid="{00000000-0005-0000-0000-000022250000}"/>
    <cellStyle name="Normal 5 2 2 2 3 2 2 5" xfId="10443" xr:uid="{ABDFF78C-70E3-46FC-9730-D9E23D26D41B}"/>
    <cellStyle name="Normal 5 2 2 2 3 2 3" xfId="1268" xr:uid="{00000000-0005-0000-0000-00001B050000}"/>
    <cellStyle name="Normal 5 2 2 2 3 2 3 2" xfId="3498" xr:uid="{00000000-0005-0000-0000-0000D10D0000}"/>
    <cellStyle name="Normal 5 2 2 2 3 2 3 2 2" xfId="7720" xr:uid="{00000000-0005-0000-0000-00004F1E0000}"/>
    <cellStyle name="Normal 5 2 2 2 3 2 3 2 2 2" xfId="17311" xr:uid="{C5183CBD-FF47-4D71-83AC-34E26AFD05BF}"/>
    <cellStyle name="Normal 5 2 2 2 3 2 3 2 3" xfId="13090" xr:uid="{BD9C1484-B665-4A31-9C46-848C85689435}"/>
    <cellStyle name="Normal 5 2 2 2 3 2 3 3" xfId="5575" xr:uid="{00000000-0005-0000-0000-0000EE150000}"/>
    <cellStyle name="Normal 5 2 2 2 3 2 3 3 2" xfId="15166" xr:uid="{F5ADC823-346E-4C09-9813-6F75F2488538}"/>
    <cellStyle name="Normal 5 2 2 2 3 2 3 4" xfId="10861" xr:uid="{BA6AB8AF-E904-49F8-BB0E-4AA136907FBA}"/>
    <cellStyle name="Normal 5 2 2 2 3 2 4" xfId="1681" xr:uid="{00000000-0005-0000-0000-0000B8060000}"/>
    <cellStyle name="Normal 5 2 2 2 3 2 4 2" xfId="3911" xr:uid="{00000000-0005-0000-0000-00006E0F0000}"/>
    <cellStyle name="Normal 5 2 2 2 3 2 4 2 2" xfId="8133" xr:uid="{00000000-0005-0000-0000-0000EC1F0000}"/>
    <cellStyle name="Normal 5 2 2 2 3 2 4 2 2 2" xfId="17724" xr:uid="{825CF111-8FC2-4BC4-8B33-39B3FE9FDBC7}"/>
    <cellStyle name="Normal 5 2 2 2 3 2 4 2 3" xfId="13503" xr:uid="{06FF0829-816F-4004-ACD0-C535E257404E}"/>
    <cellStyle name="Normal 5 2 2 2 3 2 4 3" xfId="5988" xr:uid="{00000000-0005-0000-0000-00008B170000}"/>
    <cellStyle name="Normal 5 2 2 2 3 2 4 3 2" xfId="15579" xr:uid="{EC1B7950-5907-44F4-A744-5BFFFC808F24}"/>
    <cellStyle name="Normal 5 2 2 2 3 2 4 4" xfId="11274" xr:uid="{D8917D3C-984A-41B8-ACC6-38690638886D}"/>
    <cellStyle name="Normal 5 2 2 2 3 2 5" xfId="2095" xr:uid="{00000000-0005-0000-0000-000056080000}"/>
    <cellStyle name="Normal 5 2 2 2 3 2 5 2" xfId="4324" xr:uid="{00000000-0005-0000-0000-00000B110000}"/>
    <cellStyle name="Normal 5 2 2 2 3 2 5 2 2" xfId="8546" xr:uid="{00000000-0005-0000-0000-000089210000}"/>
    <cellStyle name="Normal 5 2 2 2 3 2 5 2 2 2" xfId="18137" xr:uid="{8F173A9C-0C3F-41F2-BA01-909931C0B515}"/>
    <cellStyle name="Normal 5 2 2 2 3 2 5 2 3" xfId="13916" xr:uid="{36158FDE-71C2-4F3D-A996-BEA387E4054E}"/>
    <cellStyle name="Normal 5 2 2 2 3 2 5 3" xfId="6401" xr:uid="{00000000-0005-0000-0000-000028190000}"/>
    <cellStyle name="Normal 5 2 2 2 3 2 5 3 2" xfId="15992" xr:uid="{1AD66590-22E8-4324-884F-35ACF883BC37}"/>
    <cellStyle name="Normal 5 2 2 2 3 2 5 4" xfId="11687" xr:uid="{CB3CEE30-55F4-48A4-A7AB-ED373577B721}"/>
    <cellStyle name="Normal 5 2 2 2 3 2 6" xfId="2531" xr:uid="{00000000-0005-0000-0000-00000A0A0000}"/>
    <cellStyle name="Normal 5 2 2 2 3 2 6 2" xfId="6814" xr:uid="{00000000-0005-0000-0000-0000C51A0000}"/>
    <cellStyle name="Normal 5 2 2 2 3 2 6 2 2" xfId="16405" xr:uid="{C72F1E5A-F53C-4518-B6E3-779E5E775896}"/>
    <cellStyle name="Normal 5 2 2 2 3 2 6 3" xfId="12123" xr:uid="{1FC76E60-0DCF-41EA-82C0-BB96945F9D79}"/>
    <cellStyle name="Normal 5 2 2 2 3 2 7" xfId="4749" xr:uid="{00000000-0005-0000-0000-0000B4120000}"/>
    <cellStyle name="Normal 5 2 2 2 3 2 7 2" xfId="14340" xr:uid="{11D5EC6B-4A99-47B8-A4E8-2F30395D39A3}"/>
    <cellStyle name="Normal 5 2 2 2 3 2 8" xfId="9042" xr:uid="{00000000-0005-0000-0000-000079230000}"/>
    <cellStyle name="Normal 5 2 2 2 3 2 9" xfId="9977" xr:uid="{D7BB7CB0-DF2C-4EB7-B2C2-10294DC55660}"/>
    <cellStyle name="Normal 5 2 2 2 3 3" xfId="849" xr:uid="{00000000-0005-0000-0000-000078030000}"/>
    <cellStyle name="Normal 5 2 2 2 3 3 2" xfId="3084" xr:uid="{00000000-0005-0000-0000-0000330C0000}"/>
    <cellStyle name="Normal 5 2 2 2 3 3 2 2" xfId="7306" xr:uid="{00000000-0005-0000-0000-0000B11C0000}"/>
    <cellStyle name="Normal 5 2 2 2 3 3 2 2 2" xfId="16897" xr:uid="{BE4D942D-137E-4A56-96A7-7A5D9904FE4E}"/>
    <cellStyle name="Normal 5 2 2 2 3 3 2 3" xfId="12676" xr:uid="{9BE8F9BC-5E88-42E2-B573-26179716A7E5}"/>
    <cellStyle name="Normal 5 2 2 2 3 3 3" xfId="5161" xr:uid="{00000000-0005-0000-0000-000050140000}"/>
    <cellStyle name="Normal 5 2 2 2 3 3 3 2" xfId="14752" xr:uid="{AD3FAA2F-DEF6-43E5-9F68-E3F9F38AB558}"/>
    <cellStyle name="Normal 5 2 2 2 3 3 4" xfId="9260" xr:uid="{00000000-0005-0000-0000-000053240000}"/>
    <cellStyle name="Normal 5 2 2 2 3 3 5" xfId="10442" xr:uid="{E50E4F96-3CE6-4727-8F29-E46542F471E7}"/>
    <cellStyle name="Normal 5 2 2 2 3 4" xfId="1267" xr:uid="{00000000-0005-0000-0000-00001A050000}"/>
    <cellStyle name="Normal 5 2 2 2 3 4 2" xfId="3497" xr:uid="{00000000-0005-0000-0000-0000D00D0000}"/>
    <cellStyle name="Normal 5 2 2 2 3 4 2 2" xfId="7719" xr:uid="{00000000-0005-0000-0000-00004E1E0000}"/>
    <cellStyle name="Normal 5 2 2 2 3 4 2 2 2" xfId="17310" xr:uid="{8C0C7DA0-4791-4E25-80F3-33D6860436BE}"/>
    <cellStyle name="Normal 5 2 2 2 3 4 2 3" xfId="13089" xr:uid="{8BF27AE7-A81F-4B8C-8216-C821A8B4F326}"/>
    <cellStyle name="Normal 5 2 2 2 3 4 3" xfId="5574" xr:uid="{00000000-0005-0000-0000-0000ED150000}"/>
    <cellStyle name="Normal 5 2 2 2 3 4 3 2" xfId="15165" xr:uid="{1DC5CB5F-05F1-465E-9BC9-31B8A12B1330}"/>
    <cellStyle name="Normal 5 2 2 2 3 4 4" xfId="10860" xr:uid="{F51003F4-6CB7-42A1-8BEF-EB5DC0E674AE}"/>
    <cellStyle name="Normal 5 2 2 2 3 5" xfId="1680" xr:uid="{00000000-0005-0000-0000-0000B7060000}"/>
    <cellStyle name="Normal 5 2 2 2 3 5 2" xfId="3910" xr:uid="{00000000-0005-0000-0000-00006D0F0000}"/>
    <cellStyle name="Normal 5 2 2 2 3 5 2 2" xfId="8132" xr:uid="{00000000-0005-0000-0000-0000EB1F0000}"/>
    <cellStyle name="Normal 5 2 2 2 3 5 2 2 2" xfId="17723" xr:uid="{A45E6A13-C7FD-4A90-A625-E898C3CEEB53}"/>
    <cellStyle name="Normal 5 2 2 2 3 5 2 3" xfId="13502" xr:uid="{AF20B388-5E2F-4207-AAA8-FB10221BDF47}"/>
    <cellStyle name="Normal 5 2 2 2 3 5 3" xfId="5987" xr:uid="{00000000-0005-0000-0000-00008A170000}"/>
    <cellStyle name="Normal 5 2 2 2 3 5 3 2" xfId="15578" xr:uid="{BBB9BF52-0D34-4615-AD3A-AB1D9CD8E67E}"/>
    <cellStyle name="Normal 5 2 2 2 3 5 4" xfId="11273" xr:uid="{A8606353-4733-464F-B035-B8960B7ECFF5}"/>
    <cellStyle name="Normal 5 2 2 2 3 6" xfId="2094" xr:uid="{00000000-0005-0000-0000-000055080000}"/>
    <cellStyle name="Normal 5 2 2 2 3 6 2" xfId="4323" xr:uid="{00000000-0005-0000-0000-00000A110000}"/>
    <cellStyle name="Normal 5 2 2 2 3 6 2 2" xfId="8545" xr:uid="{00000000-0005-0000-0000-000088210000}"/>
    <cellStyle name="Normal 5 2 2 2 3 6 2 2 2" xfId="18136" xr:uid="{F5AE19BC-C779-4A68-8BFF-500DCB3BEC84}"/>
    <cellStyle name="Normal 5 2 2 2 3 6 2 3" xfId="13915" xr:uid="{DD5FC945-6B38-4885-A6DE-1F1CE79C6A90}"/>
    <cellStyle name="Normal 5 2 2 2 3 6 3" xfId="6400" xr:uid="{00000000-0005-0000-0000-000027190000}"/>
    <cellStyle name="Normal 5 2 2 2 3 6 3 2" xfId="15991" xr:uid="{CF651523-5CCD-43BB-8550-10151EDB8DBD}"/>
    <cellStyle name="Normal 5 2 2 2 3 6 4" xfId="11686" xr:uid="{F3339880-F238-473C-AF45-C02E118FF3BE}"/>
    <cellStyle name="Normal 5 2 2 2 3 7" xfId="2530" xr:uid="{00000000-0005-0000-0000-0000090A0000}"/>
    <cellStyle name="Normal 5 2 2 2 3 7 2" xfId="6813" xr:uid="{00000000-0005-0000-0000-0000C41A0000}"/>
    <cellStyle name="Normal 5 2 2 2 3 7 2 2" xfId="16404" xr:uid="{E996FD8A-0B35-463D-B0C4-0F5A87A9F779}"/>
    <cellStyle name="Normal 5 2 2 2 3 7 3" xfId="12122" xr:uid="{EF48D2FE-B77A-4522-83E2-A8434498546C}"/>
    <cellStyle name="Normal 5 2 2 2 3 8" xfId="4748" xr:uid="{00000000-0005-0000-0000-0000B3120000}"/>
    <cellStyle name="Normal 5 2 2 2 3 8 2" xfId="14339" xr:uid="{4C6908DD-7B0B-4895-A5D2-1C07ABE02585}"/>
    <cellStyle name="Normal 5 2 2 2 3 9" xfId="8835" xr:uid="{00000000-0005-0000-0000-0000AA220000}"/>
    <cellStyle name="Normal 5 2 2 2 4" xfId="380" xr:uid="{00000000-0005-0000-0000-0000A0010000}"/>
    <cellStyle name="Normal 5 2 2 2 4 2" xfId="851" xr:uid="{00000000-0005-0000-0000-00007A030000}"/>
    <cellStyle name="Normal 5 2 2 2 4 2 2" xfId="3086" xr:uid="{00000000-0005-0000-0000-0000350C0000}"/>
    <cellStyle name="Normal 5 2 2 2 4 2 2 2" xfId="7308" xr:uid="{00000000-0005-0000-0000-0000B31C0000}"/>
    <cellStyle name="Normal 5 2 2 2 4 2 2 2 2" xfId="16899" xr:uid="{2EAEE48F-C78B-40CD-A7E1-11FF32377236}"/>
    <cellStyle name="Normal 5 2 2 2 4 2 2 3" xfId="12678" xr:uid="{C0EBE9E9-B7E9-4639-A17E-32DFBC764169}"/>
    <cellStyle name="Normal 5 2 2 2 4 2 3" xfId="5163" xr:uid="{00000000-0005-0000-0000-000052140000}"/>
    <cellStyle name="Normal 5 2 2 2 4 2 3 2" xfId="14754" xr:uid="{34C55A01-D34E-4008-89D4-CF3D00B0E52A}"/>
    <cellStyle name="Normal 5 2 2 2 4 2 4" xfId="9364" xr:uid="{00000000-0005-0000-0000-0000BB240000}"/>
    <cellStyle name="Normal 5 2 2 2 4 2 5" xfId="10444" xr:uid="{4857C20A-E024-4D95-9082-576832A66C11}"/>
    <cellStyle name="Normal 5 2 2 2 4 3" xfId="1269" xr:uid="{00000000-0005-0000-0000-00001C050000}"/>
    <cellStyle name="Normal 5 2 2 2 4 3 2" xfId="3499" xr:uid="{00000000-0005-0000-0000-0000D20D0000}"/>
    <cellStyle name="Normal 5 2 2 2 4 3 2 2" xfId="7721" xr:uid="{00000000-0005-0000-0000-0000501E0000}"/>
    <cellStyle name="Normal 5 2 2 2 4 3 2 2 2" xfId="17312" xr:uid="{28B51880-C37D-49A0-985D-527D596FA88A}"/>
    <cellStyle name="Normal 5 2 2 2 4 3 2 3" xfId="13091" xr:uid="{F4427940-C649-47BB-B8E4-C76943E135EF}"/>
    <cellStyle name="Normal 5 2 2 2 4 3 3" xfId="5576" xr:uid="{00000000-0005-0000-0000-0000EF150000}"/>
    <cellStyle name="Normal 5 2 2 2 4 3 3 2" xfId="15167" xr:uid="{E191D58E-FEE3-4A2A-A55E-90A38EBF0503}"/>
    <cellStyle name="Normal 5 2 2 2 4 3 4" xfId="10862" xr:uid="{13A32360-9F05-477E-88F2-F5447EE142D1}"/>
    <cellStyle name="Normal 5 2 2 2 4 4" xfId="1682" xr:uid="{00000000-0005-0000-0000-0000B9060000}"/>
    <cellStyle name="Normal 5 2 2 2 4 4 2" xfId="3912" xr:uid="{00000000-0005-0000-0000-00006F0F0000}"/>
    <cellStyle name="Normal 5 2 2 2 4 4 2 2" xfId="8134" xr:uid="{00000000-0005-0000-0000-0000ED1F0000}"/>
    <cellStyle name="Normal 5 2 2 2 4 4 2 2 2" xfId="17725" xr:uid="{3426189E-895A-4792-AC3F-AA9E087CFFAD}"/>
    <cellStyle name="Normal 5 2 2 2 4 4 2 3" xfId="13504" xr:uid="{8A35FC56-5D8E-4635-9A6F-EC5F04C0FC13}"/>
    <cellStyle name="Normal 5 2 2 2 4 4 3" xfId="5989" xr:uid="{00000000-0005-0000-0000-00008C170000}"/>
    <cellStyle name="Normal 5 2 2 2 4 4 3 2" xfId="15580" xr:uid="{583F92C4-B661-4BA4-9E56-90C8BE85C36E}"/>
    <cellStyle name="Normal 5 2 2 2 4 4 4" xfId="11275" xr:uid="{45B3C620-F22A-4DE5-9820-249501AC495B}"/>
    <cellStyle name="Normal 5 2 2 2 4 5" xfId="2096" xr:uid="{00000000-0005-0000-0000-000057080000}"/>
    <cellStyle name="Normal 5 2 2 2 4 5 2" xfId="4325" xr:uid="{00000000-0005-0000-0000-00000C110000}"/>
    <cellStyle name="Normal 5 2 2 2 4 5 2 2" xfId="8547" xr:uid="{00000000-0005-0000-0000-00008A210000}"/>
    <cellStyle name="Normal 5 2 2 2 4 5 2 2 2" xfId="18138" xr:uid="{2113165D-1B7C-49A8-B995-A73B4285DA62}"/>
    <cellStyle name="Normal 5 2 2 2 4 5 2 3" xfId="13917" xr:uid="{F4151A98-E040-426C-9673-2EF4F184BD74}"/>
    <cellStyle name="Normal 5 2 2 2 4 5 3" xfId="6402" xr:uid="{00000000-0005-0000-0000-000029190000}"/>
    <cellStyle name="Normal 5 2 2 2 4 5 3 2" xfId="15993" xr:uid="{3B3B60A9-99A1-4D87-9CE7-85ABB5A8617F}"/>
    <cellStyle name="Normal 5 2 2 2 4 5 4" xfId="11688" xr:uid="{43110043-CC52-40AF-BB39-B051E7AEA84A}"/>
    <cellStyle name="Normal 5 2 2 2 4 6" xfId="2532" xr:uid="{00000000-0005-0000-0000-00000B0A0000}"/>
    <cellStyle name="Normal 5 2 2 2 4 6 2" xfId="6815" xr:uid="{00000000-0005-0000-0000-0000C61A0000}"/>
    <cellStyle name="Normal 5 2 2 2 4 6 2 2" xfId="16406" xr:uid="{E146BE53-B7B1-4F13-9B3E-1479B3DEFEB0}"/>
    <cellStyle name="Normal 5 2 2 2 4 6 3" xfId="12124" xr:uid="{0C1F978D-AA8B-4205-ABF2-A37B7573FE97}"/>
    <cellStyle name="Normal 5 2 2 2 4 7" xfId="4750" xr:uid="{00000000-0005-0000-0000-0000B5120000}"/>
    <cellStyle name="Normal 5 2 2 2 4 7 2" xfId="14341" xr:uid="{BB35442E-537D-4265-BB22-0225BB410BF6}"/>
    <cellStyle name="Normal 5 2 2 2 4 8" xfId="8939" xr:uid="{00000000-0005-0000-0000-000012230000}"/>
    <cellStyle name="Normal 5 2 2 2 4 9" xfId="9978" xr:uid="{A4F297B0-1350-4370-9ACD-E3F6F39C0191}"/>
    <cellStyle name="Normal 5 2 2 2 5" xfId="844" xr:uid="{00000000-0005-0000-0000-000073030000}"/>
    <cellStyle name="Normal 5 2 2 2 5 2" xfId="3079" xr:uid="{00000000-0005-0000-0000-00002E0C0000}"/>
    <cellStyle name="Normal 5 2 2 2 5 2 2" xfId="7301" xr:uid="{00000000-0005-0000-0000-0000AC1C0000}"/>
    <cellStyle name="Normal 5 2 2 2 5 2 2 2" xfId="16892" xr:uid="{7A1E3166-5DBE-48FE-B44C-602805F5D561}"/>
    <cellStyle name="Normal 5 2 2 2 5 2 3" xfId="12671" xr:uid="{12DE83D9-1B82-4DEA-BC9C-70606778F8CC}"/>
    <cellStyle name="Normal 5 2 2 2 5 3" xfId="5156" xr:uid="{00000000-0005-0000-0000-00004B140000}"/>
    <cellStyle name="Normal 5 2 2 2 5 3 2" xfId="14747" xr:uid="{28D751B7-A3AA-4F90-95AA-9B3833536A01}"/>
    <cellStyle name="Normal 5 2 2 2 5 4" xfId="9156" xr:uid="{00000000-0005-0000-0000-0000EB230000}"/>
    <cellStyle name="Normal 5 2 2 2 5 5" xfId="10437" xr:uid="{09DD314C-F149-4598-BDD4-F0B041F83C16}"/>
    <cellStyle name="Normal 5 2 2 2 6" xfId="1262" xr:uid="{00000000-0005-0000-0000-000015050000}"/>
    <cellStyle name="Normal 5 2 2 2 6 2" xfId="3492" xr:uid="{00000000-0005-0000-0000-0000CB0D0000}"/>
    <cellStyle name="Normal 5 2 2 2 6 2 2" xfId="7714" xr:uid="{00000000-0005-0000-0000-0000491E0000}"/>
    <cellStyle name="Normal 5 2 2 2 6 2 2 2" xfId="17305" xr:uid="{0F96FE2E-560C-4742-98D6-F634C6C4E23D}"/>
    <cellStyle name="Normal 5 2 2 2 6 2 3" xfId="13084" xr:uid="{B1E491D6-C6BD-47A2-A806-ABE49CCDA7E8}"/>
    <cellStyle name="Normal 5 2 2 2 6 3" xfId="5569" xr:uid="{00000000-0005-0000-0000-0000E8150000}"/>
    <cellStyle name="Normal 5 2 2 2 6 3 2" xfId="15160" xr:uid="{626F2D1B-F763-4E92-BF30-D89DB84AF8AF}"/>
    <cellStyle name="Normal 5 2 2 2 6 4" xfId="10855" xr:uid="{E4C6BE1C-FD55-485D-8B25-C9103141A460}"/>
    <cellStyle name="Normal 5 2 2 2 7" xfId="1675" xr:uid="{00000000-0005-0000-0000-0000B2060000}"/>
    <cellStyle name="Normal 5 2 2 2 7 2" xfId="3905" xr:uid="{00000000-0005-0000-0000-0000680F0000}"/>
    <cellStyle name="Normal 5 2 2 2 7 2 2" xfId="8127" xr:uid="{00000000-0005-0000-0000-0000E61F0000}"/>
    <cellStyle name="Normal 5 2 2 2 7 2 2 2" xfId="17718" xr:uid="{48E8A17A-1896-4A46-A9E5-235C620BD34C}"/>
    <cellStyle name="Normal 5 2 2 2 7 2 3" xfId="13497" xr:uid="{76AC1D16-3FBF-44DB-BFE5-6202C4D9D5AC}"/>
    <cellStyle name="Normal 5 2 2 2 7 3" xfId="5982" xr:uid="{00000000-0005-0000-0000-000085170000}"/>
    <cellStyle name="Normal 5 2 2 2 7 3 2" xfId="15573" xr:uid="{0F172BDA-6CBB-4ED3-A769-35B3A5D76BFF}"/>
    <cellStyle name="Normal 5 2 2 2 7 4" xfId="11268" xr:uid="{2874D38C-4FB0-4F5B-872E-50E45B7CCABB}"/>
    <cellStyle name="Normal 5 2 2 2 8" xfId="2089" xr:uid="{00000000-0005-0000-0000-000050080000}"/>
    <cellStyle name="Normal 5 2 2 2 8 2" xfId="4318" xr:uid="{00000000-0005-0000-0000-000005110000}"/>
    <cellStyle name="Normal 5 2 2 2 8 2 2" xfId="8540" xr:uid="{00000000-0005-0000-0000-000083210000}"/>
    <cellStyle name="Normal 5 2 2 2 8 2 2 2" xfId="18131" xr:uid="{1B1DE2CE-9A6A-4EB9-A27D-21D72FCF79C5}"/>
    <cellStyle name="Normal 5 2 2 2 8 2 3" xfId="13910" xr:uid="{FA8D5852-B3EF-47CF-83B1-5EDED6F998EA}"/>
    <cellStyle name="Normal 5 2 2 2 8 3" xfId="6395" xr:uid="{00000000-0005-0000-0000-000022190000}"/>
    <cellStyle name="Normal 5 2 2 2 8 3 2" xfId="15986" xr:uid="{4F11AFE5-278A-4FB8-B97E-D74833EFA576}"/>
    <cellStyle name="Normal 5 2 2 2 8 4" xfId="11681" xr:uid="{D39BC06F-E10C-4B73-83F3-F4C7F76D9A1A}"/>
    <cellStyle name="Normal 5 2 2 2 9" xfId="2525" xr:uid="{00000000-0005-0000-0000-0000040A0000}"/>
    <cellStyle name="Normal 5 2 2 2 9 2" xfId="6808" xr:uid="{00000000-0005-0000-0000-0000BF1A0000}"/>
    <cellStyle name="Normal 5 2 2 2 9 2 2" xfId="16399" xr:uid="{405CE216-9B80-45FC-8324-E47C3A398F3B}"/>
    <cellStyle name="Normal 5 2 2 2 9 3" xfId="12117" xr:uid="{7FB8DFBB-7F32-4CE1-AC56-87C515A7D6F2}"/>
    <cellStyle name="Normal 5 2 2 3" xfId="381" xr:uid="{00000000-0005-0000-0000-0000A1010000}"/>
    <cellStyle name="Normal 5 2 2 3 10" xfId="8789" xr:uid="{00000000-0005-0000-0000-00007C220000}"/>
    <cellStyle name="Normal 5 2 2 3 11" xfId="9979" xr:uid="{1755EC7E-2484-4C67-8A93-BA4792818545}"/>
    <cellStyle name="Normal 5 2 2 3 2" xfId="382" xr:uid="{00000000-0005-0000-0000-0000A2010000}"/>
    <cellStyle name="Normal 5 2 2 3 2 10" xfId="9980" xr:uid="{DBA351BE-EEFD-4B9C-913A-43940E686459}"/>
    <cellStyle name="Normal 5 2 2 3 2 2" xfId="383" xr:uid="{00000000-0005-0000-0000-0000A3010000}"/>
    <cellStyle name="Normal 5 2 2 3 2 2 2" xfId="854" xr:uid="{00000000-0005-0000-0000-00007D030000}"/>
    <cellStyle name="Normal 5 2 2 3 2 2 2 2" xfId="3089" xr:uid="{00000000-0005-0000-0000-0000380C0000}"/>
    <cellStyle name="Normal 5 2 2 3 2 2 2 2 2" xfId="7311" xr:uid="{00000000-0005-0000-0000-0000B61C0000}"/>
    <cellStyle name="Normal 5 2 2 3 2 2 2 2 2 2" xfId="16902" xr:uid="{86C0BF78-4D86-4034-B1C8-9B87B9CC4F2E}"/>
    <cellStyle name="Normal 5 2 2 3 2 2 2 2 3" xfId="12681" xr:uid="{6B2434C8-5C7C-47B9-ACFF-F9D322BC2587}"/>
    <cellStyle name="Normal 5 2 2 3 2 2 2 3" xfId="5166" xr:uid="{00000000-0005-0000-0000-000055140000}"/>
    <cellStyle name="Normal 5 2 2 3 2 2 2 3 2" xfId="14757" xr:uid="{F3AFC130-B286-4E2E-B522-A887B79157CA}"/>
    <cellStyle name="Normal 5 2 2 3 2 2 2 4" xfId="9524" xr:uid="{00000000-0005-0000-0000-00005B250000}"/>
    <cellStyle name="Normal 5 2 2 3 2 2 2 5" xfId="10447" xr:uid="{9D16FC85-96EA-4323-B357-9FB2384A2324}"/>
    <cellStyle name="Normal 5 2 2 3 2 2 3" xfId="1272" xr:uid="{00000000-0005-0000-0000-00001F050000}"/>
    <cellStyle name="Normal 5 2 2 3 2 2 3 2" xfId="3502" xr:uid="{00000000-0005-0000-0000-0000D50D0000}"/>
    <cellStyle name="Normal 5 2 2 3 2 2 3 2 2" xfId="7724" xr:uid="{00000000-0005-0000-0000-0000531E0000}"/>
    <cellStyle name="Normal 5 2 2 3 2 2 3 2 2 2" xfId="17315" xr:uid="{6B36E0C2-6AA9-4891-A0DA-236EBBE58928}"/>
    <cellStyle name="Normal 5 2 2 3 2 2 3 2 3" xfId="13094" xr:uid="{2A2717D9-E59C-49C2-AF52-771A446A8537}"/>
    <cellStyle name="Normal 5 2 2 3 2 2 3 3" xfId="5579" xr:uid="{00000000-0005-0000-0000-0000F2150000}"/>
    <cellStyle name="Normal 5 2 2 3 2 2 3 3 2" xfId="15170" xr:uid="{55836D66-8978-4D1E-8AF0-AEBA9FE63C14}"/>
    <cellStyle name="Normal 5 2 2 3 2 2 3 4" xfId="10865" xr:uid="{E3016500-A8CA-4F84-BAD9-3E13E53790F9}"/>
    <cellStyle name="Normal 5 2 2 3 2 2 4" xfId="1685" xr:uid="{00000000-0005-0000-0000-0000BC060000}"/>
    <cellStyle name="Normal 5 2 2 3 2 2 4 2" xfId="3915" xr:uid="{00000000-0005-0000-0000-0000720F0000}"/>
    <cellStyle name="Normal 5 2 2 3 2 2 4 2 2" xfId="8137" xr:uid="{00000000-0005-0000-0000-0000F01F0000}"/>
    <cellStyle name="Normal 5 2 2 3 2 2 4 2 2 2" xfId="17728" xr:uid="{0E56E1B0-CF99-441E-A103-B2772CE4DCA3}"/>
    <cellStyle name="Normal 5 2 2 3 2 2 4 2 3" xfId="13507" xr:uid="{4C5FFB16-81E3-45E6-938B-C4712EC353F7}"/>
    <cellStyle name="Normal 5 2 2 3 2 2 4 3" xfId="5992" xr:uid="{00000000-0005-0000-0000-00008F170000}"/>
    <cellStyle name="Normal 5 2 2 3 2 2 4 3 2" xfId="15583" xr:uid="{EC2CB58A-AAA8-41CC-8533-213D59D66415}"/>
    <cellStyle name="Normal 5 2 2 3 2 2 4 4" xfId="11278" xr:uid="{D0ADDFCC-39CA-4127-9F5A-C66A35B615AC}"/>
    <cellStyle name="Normal 5 2 2 3 2 2 5" xfId="2099" xr:uid="{00000000-0005-0000-0000-00005A080000}"/>
    <cellStyle name="Normal 5 2 2 3 2 2 5 2" xfId="4328" xr:uid="{00000000-0005-0000-0000-00000F110000}"/>
    <cellStyle name="Normal 5 2 2 3 2 2 5 2 2" xfId="8550" xr:uid="{00000000-0005-0000-0000-00008D210000}"/>
    <cellStyle name="Normal 5 2 2 3 2 2 5 2 2 2" xfId="18141" xr:uid="{80958DB2-16B8-4A65-B34D-04638F7039FA}"/>
    <cellStyle name="Normal 5 2 2 3 2 2 5 2 3" xfId="13920" xr:uid="{45D47EF7-8259-4B6D-BA2D-930D3B01909B}"/>
    <cellStyle name="Normal 5 2 2 3 2 2 5 3" xfId="6405" xr:uid="{00000000-0005-0000-0000-00002C190000}"/>
    <cellStyle name="Normal 5 2 2 3 2 2 5 3 2" xfId="15996" xr:uid="{987164F6-AAD4-4DCF-8828-C16903BE3F71}"/>
    <cellStyle name="Normal 5 2 2 3 2 2 5 4" xfId="11691" xr:uid="{CDECFF95-D7C0-42C5-82B1-148BF90FB3DE}"/>
    <cellStyle name="Normal 5 2 2 3 2 2 6" xfId="2535" xr:uid="{00000000-0005-0000-0000-00000E0A0000}"/>
    <cellStyle name="Normal 5 2 2 3 2 2 6 2" xfId="6818" xr:uid="{00000000-0005-0000-0000-0000C91A0000}"/>
    <cellStyle name="Normal 5 2 2 3 2 2 6 2 2" xfId="16409" xr:uid="{50719980-BCE8-4AAD-A8F3-2B46D7354FCA}"/>
    <cellStyle name="Normal 5 2 2 3 2 2 6 3" xfId="12127" xr:uid="{F0D14916-1A06-4948-98F9-B1905F9C586F}"/>
    <cellStyle name="Normal 5 2 2 3 2 2 7" xfId="4753" xr:uid="{00000000-0005-0000-0000-0000B8120000}"/>
    <cellStyle name="Normal 5 2 2 3 2 2 7 2" xfId="14344" xr:uid="{AFBB77C8-C6A3-46F4-B10B-17E348BDD477}"/>
    <cellStyle name="Normal 5 2 2 3 2 2 8" xfId="9099" xr:uid="{00000000-0005-0000-0000-0000B2230000}"/>
    <cellStyle name="Normal 5 2 2 3 2 2 9" xfId="9981" xr:uid="{DE29F78D-7325-418B-944F-545EE17CCCC5}"/>
    <cellStyle name="Normal 5 2 2 3 2 3" xfId="853" xr:uid="{00000000-0005-0000-0000-00007C030000}"/>
    <cellStyle name="Normal 5 2 2 3 2 3 2" xfId="3088" xr:uid="{00000000-0005-0000-0000-0000370C0000}"/>
    <cellStyle name="Normal 5 2 2 3 2 3 2 2" xfId="7310" xr:uid="{00000000-0005-0000-0000-0000B51C0000}"/>
    <cellStyle name="Normal 5 2 2 3 2 3 2 2 2" xfId="16901" xr:uid="{A5275FD0-52F0-4539-8868-9E7823138FF5}"/>
    <cellStyle name="Normal 5 2 2 3 2 3 2 3" xfId="12680" xr:uid="{A4918523-51FA-42F2-8EA3-97F74C567FDF}"/>
    <cellStyle name="Normal 5 2 2 3 2 3 3" xfId="5165" xr:uid="{00000000-0005-0000-0000-000054140000}"/>
    <cellStyle name="Normal 5 2 2 3 2 3 3 2" xfId="14756" xr:uid="{ABAAE231-3B13-4877-A77F-92263C135464}"/>
    <cellStyle name="Normal 5 2 2 3 2 3 4" xfId="9317" xr:uid="{00000000-0005-0000-0000-00008C240000}"/>
    <cellStyle name="Normal 5 2 2 3 2 3 5" xfId="10446" xr:uid="{19777F0B-B204-497F-A392-D245600BB0C3}"/>
    <cellStyle name="Normal 5 2 2 3 2 4" xfId="1271" xr:uid="{00000000-0005-0000-0000-00001E050000}"/>
    <cellStyle name="Normal 5 2 2 3 2 4 2" xfId="3501" xr:uid="{00000000-0005-0000-0000-0000D40D0000}"/>
    <cellStyle name="Normal 5 2 2 3 2 4 2 2" xfId="7723" xr:uid="{00000000-0005-0000-0000-0000521E0000}"/>
    <cellStyle name="Normal 5 2 2 3 2 4 2 2 2" xfId="17314" xr:uid="{32D4D83D-B049-495F-B7D8-BF813DB51905}"/>
    <cellStyle name="Normal 5 2 2 3 2 4 2 3" xfId="13093" xr:uid="{31C8EC8D-16AE-41DF-852E-1BA20D61EC93}"/>
    <cellStyle name="Normal 5 2 2 3 2 4 3" xfId="5578" xr:uid="{00000000-0005-0000-0000-0000F1150000}"/>
    <cellStyle name="Normal 5 2 2 3 2 4 3 2" xfId="15169" xr:uid="{2D82FADC-5F53-496C-B99D-35A336DEE207}"/>
    <cellStyle name="Normal 5 2 2 3 2 4 4" xfId="10864" xr:uid="{DCFC06A8-5A28-4CD5-B053-EA3094531389}"/>
    <cellStyle name="Normal 5 2 2 3 2 5" xfId="1684" xr:uid="{00000000-0005-0000-0000-0000BB060000}"/>
    <cellStyle name="Normal 5 2 2 3 2 5 2" xfId="3914" xr:uid="{00000000-0005-0000-0000-0000710F0000}"/>
    <cellStyle name="Normal 5 2 2 3 2 5 2 2" xfId="8136" xr:uid="{00000000-0005-0000-0000-0000EF1F0000}"/>
    <cellStyle name="Normal 5 2 2 3 2 5 2 2 2" xfId="17727" xr:uid="{C2B3E9A5-FB33-49D6-BCA0-80E1D7B52A7F}"/>
    <cellStyle name="Normal 5 2 2 3 2 5 2 3" xfId="13506" xr:uid="{5F31ED1B-7B96-446E-B796-57052D452964}"/>
    <cellStyle name="Normal 5 2 2 3 2 5 3" xfId="5991" xr:uid="{00000000-0005-0000-0000-00008E170000}"/>
    <cellStyle name="Normal 5 2 2 3 2 5 3 2" xfId="15582" xr:uid="{3A178E0C-EDEE-46A6-9B8C-A14DAF7BF005}"/>
    <cellStyle name="Normal 5 2 2 3 2 5 4" xfId="11277" xr:uid="{E6B26ADE-4177-44D5-BEC7-DC133B4F82C0}"/>
    <cellStyle name="Normal 5 2 2 3 2 6" xfId="2098" xr:uid="{00000000-0005-0000-0000-000059080000}"/>
    <cellStyle name="Normal 5 2 2 3 2 6 2" xfId="4327" xr:uid="{00000000-0005-0000-0000-00000E110000}"/>
    <cellStyle name="Normal 5 2 2 3 2 6 2 2" xfId="8549" xr:uid="{00000000-0005-0000-0000-00008C210000}"/>
    <cellStyle name="Normal 5 2 2 3 2 6 2 2 2" xfId="18140" xr:uid="{BC1A3AB6-0533-4C06-B09D-11E4F69C60C0}"/>
    <cellStyle name="Normal 5 2 2 3 2 6 2 3" xfId="13919" xr:uid="{FA8BEFE2-6D58-4498-A6AA-33A619407EB0}"/>
    <cellStyle name="Normal 5 2 2 3 2 6 3" xfId="6404" xr:uid="{00000000-0005-0000-0000-00002B190000}"/>
    <cellStyle name="Normal 5 2 2 3 2 6 3 2" xfId="15995" xr:uid="{A607CA4A-B6DB-4DAA-BFFD-80E6209ED5D0}"/>
    <cellStyle name="Normal 5 2 2 3 2 6 4" xfId="11690" xr:uid="{554E9281-BFB5-4D0C-BBFB-F62254002B76}"/>
    <cellStyle name="Normal 5 2 2 3 2 7" xfId="2534" xr:uid="{00000000-0005-0000-0000-00000D0A0000}"/>
    <cellStyle name="Normal 5 2 2 3 2 7 2" xfId="6817" xr:uid="{00000000-0005-0000-0000-0000C81A0000}"/>
    <cellStyle name="Normal 5 2 2 3 2 7 2 2" xfId="16408" xr:uid="{093233F4-0C9E-427A-9726-3641A7E21A97}"/>
    <cellStyle name="Normal 5 2 2 3 2 7 3" xfId="12126" xr:uid="{36EFE5F4-8773-424F-B4D6-8B0DC3DD13E4}"/>
    <cellStyle name="Normal 5 2 2 3 2 8" xfId="4752" xr:uid="{00000000-0005-0000-0000-0000B7120000}"/>
    <cellStyle name="Normal 5 2 2 3 2 8 2" xfId="14343" xr:uid="{80BAD4D4-D104-4A5E-954E-8714E58235B8}"/>
    <cellStyle name="Normal 5 2 2 3 2 9" xfId="8892" xr:uid="{00000000-0005-0000-0000-0000E3220000}"/>
    <cellStyle name="Normal 5 2 2 3 3" xfId="384" xr:uid="{00000000-0005-0000-0000-0000A4010000}"/>
    <cellStyle name="Normal 5 2 2 3 3 2" xfId="855" xr:uid="{00000000-0005-0000-0000-00007E030000}"/>
    <cellStyle name="Normal 5 2 2 3 3 2 2" xfId="3090" xr:uid="{00000000-0005-0000-0000-0000390C0000}"/>
    <cellStyle name="Normal 5 2 2 3 3 2 2 2" xfId="7312" xr:uid="{00000000-0005-0000-0000-0000B71C0000}"/>
    <cellStyle name="Normal 5 2 2 3 3 2 2 2 2" xfId="16903" xr:uid="{EAA1133D-4CFE-4566-9525-DE48EBDB43F1}"/>
    <cellStyle name="Normal 5 2 2 3 3 2 2 3" xfId="12682" xr:uid="{B0301355-2F10-405B-B3C1-BEF64F2A1C4D}"/>
    <cellStyle name="Normal 5 2 2 3 3 2 3" xfId="5167" xr:uid="{00000000-0005-0000-0000-000056140000}"/>
    <cellStyle name="Normal 5 2 2 3 3 2 3 2" xfId="14758" xr:uid="{4A0C61C5-17DA-4EDB-B56D-93F02B8327F6}"/>
    <cellStyle name="Normal 5 2 2 3 3 2 4" xfId="9421" xr:uid="{00000000-0005-0000-0000-0000F4240000}"/>
    <cellStyle name="Normal 5 2 2 3 3 2 5" xfId="10448" xr:uid="{7078BB27-FC9F-4E3C-990F-27C43D8DEB0E}"/>
    <cellStyle name="Normal 5 2 2 3 3 3" xfId="1273" xr:uid="{00000000-0005-0000-0000-000020050000}"/>
    <cellStyle name="Normal 5 2 2 3 3 3 2" xfId="3503" xr:uid="{00000000-0005-0000-0000-0000D60D0000}"/>
    <cellStyle name="Normal 5 2 2 3 3 3 2 2" xfId="7725" xr:uid="{00000000-0005-0000-0000-0000541E0000}"/>
    <cellStyle name="Normal 5 2 2 3 3 3 2 2 2" xfId="17316" xr:uid="{8AF827D1-D163-4ACE-BEF7-30F35D918339}"/>
    <cellStyle name="Normal 5 2 2 3 3 3 2 3" xfId="13095" xr:uid="{A00CC589-3B78-497A-8A2B-42C2D6ABCDA9}"/>
    <cellStyle name="Normal 5 2 2 3 3 3 3" xfId="5580" xr:uid="{00000000-0005-0000-0000-0000F3150000}"/>
    <cellStyle name="Normal 5 2 2 3 3 3 3 2" xfId="15171" xr:uid="{595561A3-DD14-4E40-9597-CD59C085B637}"/>
    <cellStyle name="Normal 5 2 2 3 3 3 4" xfId="10866" xr:uid="{A82C7244-FBAF-4244-8E77-E94A19595F3A}"/>
    <cellStyle name="Normal 5 2 2 3 3 4" xfId="1686" xr:uid="{00000000-0005-0000-0000-0000BD060000}"/>
    <cellStyle name="Normal 5 2 2 3 3 4 2" xfId="3916" xr:uid="{00000000-0005-0000-0000-0000730F0000}"/>
    <cellStyle name="Normal 5 2 2 3 3 4 2 2" xfId="8138" xr:uid="{00000000-0005-0000-0000-0000F11F0000}"/>
    <cellStyle name="Normal 5 2 2 3 3 4 2 2 2" xfId="17729" xr:uid="{7F330403-9016-4180-B8A8-EB1F83F6C872}"/>
    <cellStyle name="Normal 5 2 2 3 3 4 2 3" xfId="13508" xr:uid="{CAC8831A-F4C7-41B3-A8B4-D881B9119B72}"/>
    <cellStyle name="Normal 5 2 2 3 3 4 3" xfId="5993" xr:uid="{00000000-0005-0000-0000-000090170000}"/>
    <cellStyle name="Normal 5 2 2 3 3 4 3 2" xfId="15584" xr:uid="{4E2B6959-7070-47F8-84BE-51575E5A60DE}"/>
    <cellStyle name="Normal 5 2 2 3 3 4 4" xfId="11279" xr:uid="{4F2C9795-E959-4ABD-8510-03E4A16CD506}"/>
    <cellStyle name="Normal 5 2 2 3 3 5" xfId="2100" xr:uid="{00000000-0005-0000-0000-00005B080000}"/>
    <cellStyle name="Normal 5 2 2 3 3 5 2" xfId="4329" xr:uid="{00000000-0005-0000-0000-000010110000}"/>
    <cellStyle name="Normal 5 2 2 3 3 5 2 2" xfId="8551" xr:uid="{00000000-0005-0000-0000-00008E210000}"/>
    <cellStyle name="Normal 5 2 2 3 3 5 2 2 2" xfId="18142" xr:uid="{05205817-6AA9-42A8-931F-C4D817C4B5CF}"/>
    <cellStyle name="Normal 5 2 2 3 3 5 2 3" xfId="13921" xr:uid="{92A73CF2-C0D7-4365-B290-1E1F0E73CB05}"/>
    <cellStyle name="Normal 5 2 2 3 3 5 3" xfId="6406" xr:uid="{00000000-0005-0000-0000-00002D190000}"/>
    <cellStyle name="Normal 5 2 2 3 3 5 3 2" xfId="15997" xr:uid="{742A4181-6060-4F55-9552-4EA5117C14F6}"/>
    <cellStyle name="Normal 5 2 2 3 3 5 4" xfId="11692" xr:uid="{B2D5230C-5439-4CCE-BBCC-E47A28E93AF5}"/>
    <cellStyle name="Normal 5 2 2 3 3 6" xfId="2536" xr:uid="{00000000-0005-0000-0000-00000F0A0000}"/>
    <cellStyle name="Normal 5 2 2 3 3 6 2" xfId="6819" xr:uid="{00000000-0005-0000-0000-0000CA1A0000}"/>
    <cellStyle name="Normal 5 2 2 3 3 6 2 2" xfId="16410" xr:uid="{B4E39B01-2E6C-4930-9B33-FF291CF73A0F}"/>
    <cellStyle name="Normal 5 2 2 3 3 6 3" xfId="12128" xr:uid="{0119A71D-5B97-4785-B0BD-BED409409EDE}"/>
    <cellStyle name="Normal 5 2 2 3 3 7" xfId="4754" xr:uid="{00000000-0005-0000-0000-0000B9120000}"/>
    <cellStyle name="Normal 5 2 2 3 3 7 2" xfId="14345" xr:uid="{B5376DD9-1F1B-44BD-8548-149A704E19B2}"/>
    <cellStyle name="Normal 5 2 2 3 3 8" xfId="8996" xr:uid="{00000000-0005-0000-0000-00004B230000}"/>
    <cellStyle name="Normal 5 2 2 3 3 9" xfId="9982" xr:uid="{8596B04F-3394-44C6-B470-82E220339BA8}"/>
    <cellStyle name="Normal 5 2 2 3 4" xfId="852" xr:uid="{00000000-0005-0000-0000-00007B030000}"/>
    <cellStyle name="Normal 5 2 2 3 4 2" xfId="3087" xr:uid="{00000000-0005-0000-0000-0000360C0000}"/>
    <cellStyle name="Normal 5 2 2 3 4 2 2" xfId="7309" xr:uid="{00000000-0005-0000-0000-0000B41C0000}"/>
    <cellStyle name="Normal 5 2 2 3 4 2 2 2" xfId="16900" xr:uid="{7AEF2938-4602-48A2-BF39-FF1040AA04AA}"/>
    <cellStyle name="Normal 5 2 2 3 4 2 3" xfId="12679" xr:uid="{DB9765F4-D47D-46D2-A9B1-F73CB03CB133}"/>
    <cellStyle name="Normal 5 2 2 3 4 3" xfId="5164" xr:uid="{00000000-0005-0000-0000-000053140000}"/>
    <cellStyle name="Normal 5 2 2 3 4 3 2" xfId="14755" xr:uid="{3F35CF95-6DD6-4D16-935B-EA33FB9AD80E}"/>
    <cellStyle name="Normal 5 2 2 3 4 4" xfId="9214" xr:uid="{00000000-0005-0000-0000-000025240000}"/>
    <cellStyle name="Normal 5 2 2 3 4 5" xfId="10445" xr:uid="{19FA39B9-8325-4527-807A-35A8B7305644}"/>
    <cellStyle name="Normal 5 2 2 3 5" xfId="1270" xr:uid="{00000000-0005-0000-0000-00001D050000}"/>
    <cellStyle name="Normal 5 2 2 3 5 2" xfId="3500" xr:uid="{00000000-0005-0000-0000-0000D30D0000}"/>
    <cellStyle name="Normal 5 2 2 3 5 2 2" xfId="7722" xr:uid="{00000000-0005-0000-0000-0000511E0000}"/>
    <cellStyle name="Normal 5 2 2 3 5 2 2 2" xfId="17313" xr:uid="{77509D76-8F56-417F-B540-0C80C93EAD1C}"/>
    <cellStyle name="Normal 5 2 2 3 5 2 3" xfId="13092" xr:uid="{D5B86A66-F9E1-40B5-B7D2-1F237953AA49}"/>
    <cellStyle name="Normal 5 2 2 3 5 3" xfId="5577" xr:uid="{00000000-0005-0000-0000-0000F0150000}"/>
    <cellStyle name="Normal 5 2 2 3 5 3 2" xfId="15168" xr:uid="{A6AD831B-D479-4899-83DD-D11CAB4D64D6}"/>
    <cellStyle name="Normal 5 2 2 3 5 4" xfId="10863" xr:uid="{FA798F91-1738-4BF5-A74A-BEEEB9E04D11}"/>
    <cellStyle name="Normal 5 2 2 3 6" xfId="1683" xr:uid="{00000000-0005-0000-0000-0000BA060000}"/>
    <cellStyle name="Normal 5 2 2 3 6 2" xfId="3913" xr:uid="{00000000-0005-0000-0000-0000700F0000}"/>
    <cellStyle name="Normal 5 2 2 3 6 2 2" xfId="8135" xr:uid="{00000000-0005-0000-0000-0000EE1F0000}"/>
    <cellStyle name="Normal 5 2 2 3 6 2 2 2" xfId="17726" xr:uid="{2EE809C5-EEC4-4CE3-B265-465B017755D5}"/>
    <cellStyle name="Normal 5 2 2 3 6 2 3" xfId="13505" xr:uid="{49D2C0CF-FA46-4FC8-AF53-67AC3C1D50B5}"/>
    <cellStyle name="Normal 5 2 2 3 6 3" xfId="5990" xr:uid="{00000000-0005-0000-0000-00008D170000}"/>
    <cellStyle name="Normal 5 2 2 3 6 3 2" xfId="15581" xr:uid="{C412AA96-EF1F-43FE-9585-D77FF608EE5B}"/>
    <cellStyle name="Normal 5 2 2 3 6 4" xfId="11276" xr:uid="{66E1EF65-9D36-4131-A730-C7CE4FF655A1}"/>
    <cellStyle name="Normal 5 2 2 3 7" xfId="2097" xr:uid="{00000000-0005-0000-0000-000058080000}"/>
    <cellStyle name="Normal 5 2 2 3 7 2" xfId="4326" xr:uid="{00000000-0005-0000-0000-00000D110000}"/>
    <cellStyle name="Normal 5 2 2 3 7 2 2" xfId="8548" xr:uid="{00000000-0005-0000-0000-00008B210000}"/>
    <cellStyle name="Normal 5 2 2 3 7 2 2 2" xfId="18139" xr:uid="{73A008C5-2083-47EC-A249-F6783CD76034}"/>
    <cellStyle name="Normal 5 2 2 3 7 2 3" xfId="13918" xr:uid="{20DD7FCF-DA6A-432A-A7B4-A12680609E8D}"/>
    <cellStyle name="Normal 5 2 2 3 7 3" xfId="6403" xr:uid="{00000000-0005-0000-0000-00002A190000}"/>
    <cellStyle name="Normal 5 2 2 3 7 3 2" xfId="15994" xr:uid="{F0C801D7-415A-4664-A356-07912DBAD880}"/>
    <cellStyle name="Normal 5 2 2 3 7 4" xfId="11689" xr:uid="{B69EF5CD-73E4-4447-A22D-BAFCC0174BEF}"/>
    <cellStyle name="Normal 5 2 2 3 8" xfId="2533" xr:uid="{00000000-0005-0000-0000-00000C0A0000}"/>
    <cellStyle name="Normal 5 2 2 3 8 2" xfId="6816" xr:uid="{00000000-0005-0000-0000-0000C71A0000}"/>
    <cellStyle name="Normal 5 2 2 3 8 2 2" xfId="16407" xr:uid="{1FC67803-750A-43C9-B444-8FFC145BF554}"/>
    <cellStyle name="Normal 5 2 2 3 8 3" xfId="12125" xr:uid="{F53CB881-8813-48D6-9E16-FB2D4C12C11A}"/>
    <cellStyle name="Normal 5 2 2 3 9" xfId="4751" xr:uid="{00000000-0005-0000-0000-0000B6120000}"/>
    <cellStyle name="Normal 5 2 2 3 9 2" xfId="14342" xr:uid="{24319AA5-2E2F-4895-B894-AA5F0B40C90D}"/>
    <cellStyle name="Normal 5 2 2 4" xfId="385" xr:uid="{00000000-0005-0000-0000-0000A5010000}"/>
    <cellStyle name="Normal 5 2 2 4 10" xfId="9983" xr:uid="{809D86C1-7153-48E6-AD95-6B7D205DA074}"/>
    <cellStyle name="Normal 5 2 2 4 2" xfId="386" xr:uid="{00000000-0005-0000-0000-0000A6010000}"/>
    <cellStyle name="Normal 5 2 2 4 2 2" xfId="857" xr:uid="{00000000-0005-0000-0000-000080030000}"/>
    <cellStyle name="Normal 5 2 2 4 2 2 2" xfId="3092" xr:uid="{00000000-0005-0000-0000-00003B0C0000}"/>
    <cellStyle name="Normal 5 2 2 4 2 2 2 2" xfId="7314" xr:uid="{00000000-0005-0000-0000-0000B91C0000}"/>
    <cellStyle name="Normal 5 2 2 4 2 2 2 2 2" xfId="16905" xr:uid="{F409735B-4ED7-4325-9FA2-E9EF8D3C80E8}"/>
    <cellStyle name="Normal 5 2 2 4 2 2 2 3" xfId="12684" xr:uid="{EBAE2E30-896F-42D1-BDC4-072A8071DE53}"/>
    <cellStyle name="Normal 5 2 2 4 2 2 3" xfId="5169" xr:uid="{00000000-0005-0000-0000-000058140000}"/>
    <cellStyle name="Normal 5 2 2 4 2 2 3 2" xfId="14760" xr:uid="{4E95BF65-808C-44D0-B7DD-9D6488643E4B}"/>
    <cellStyle name="Normal 5 2 2 4 2 2 4" xfId="9449" xr:uid="{00000000-0005-0000-0000-000010250000}"/>
    <cellStyle name="Normal 5 2 2 4 2 2 5" xfId="10450" xr:uid="{56CCE41E-6517-4137-852C-8F74C6FD80D7}"/>
    <cellStyle name="Normal 5 2 2 4 2 3" xfId="1275" xr:uid="{00000000-0005-0000-0000-000022050000}"/>
    <cellStyle name="Normal 5 2 2 4 2 3 2" xfId="3505" xr:uid="{00000000-0005-0000-0000-0000D80D0000}"/>
    <cellStyle name="Normal 5 2 2 4 2 3 2 2" xfId="7727" xr:uid="{00000000-0005-0000-0000-0000561E0000}"/>
    <cellStyle name="Normal 5 2 2 4 2 3 2 2 2" xfId="17318" xr:uid="{B6E9B595-AE77-47D5-B9A5-8166B45BB48E}"/>
    <cellStyle name="Normal 5 2 2 4 2 3 2 3" xfId="13097" xr:uid="{AD7410E7-CA2C-4B23-9D66-DB3A762A88AA}"/>
    <cellStyle name="Normal 5 2 2 4 2 3 3" xfId="5582" xr:uid="{00000000-0005-0000-0000-0000F5150000}"/>
    <cellStyle name="Normal 5 2 2 4 2 3 3 2" xfId="15173" xr:uid="{BEBA0642-7594-4293-8238-1F917E60041B}"/>
    <cellStyle name="Normal 5 2 2 4 2 3 4" xfId="10868" xr:uid="{E87CD125-215F-4DDE-862C-6B4CC08497DB}"/>
    <cellStyle name="Normal 5 2 2 4 2 4" xfId="1688" xr:uid="{00000000-0005-0000-0000-0000BF060000}"/>
    <cellStyle name="Normal 5 2 2 4 2 4 2" xfId="3918" xr:uid="{00000000-0005-0000-0000-0000750F0000}"/>
    <cellStyle name="Normal 5 2 2 4 2 4 2 2" xfId="8140" xr:uid="{00000000-0005-0000-0000-0000F31F0000}"/>
    <cellStyle name="Normal 5 2 2 4 2 4 2 2 2" xfId="17731" xr:uid="{871C648B-455A-4344-A05E-54819A4671A5}"/>
    <cellStyle name="Normal 5 2 2 4 2 4 2 3" xfId="13510" xr:uid="{F3F5F702-F606-4244-B5BF-9BAF5D6BBE66}"/>
    <cellStyle name="Normal 5 2 2 4 2 4 3" xfId="5995" xr:uid="{00000000-0005-0000-0000-000092170000}"/>
    <cellStyle name="Normal 5 2 2 4 2 4 3 2" xfId="15586" xr:uid="{1E4C0E90-E3FD-4F79-AA53-68E833F5AD01}"/>
    <cellStyle name="Normal 5 2 2 4 2 4 4" xfId="11281" xr:uid="{0B9EF23F-6CBC-4563-83D8-A3AC64DBFDAD}"/>
    <cellStyle name="Normal 5 2 2 4 2 5" xfId="2102" xr:uid="{00000000-0005-0000-0000-00005D080000}"/>
    <cellStyle name="Normal 5 2 2 4 2 5 2" xfId="4331" xr:uid="{00000000-0005-0000-0000-000012110000}"/>
    <cellStyle name="Normal 5 2 2 4 2 5 2 2" xfId="8553" xr:uid="{00000000-0005-0000-0000-000090210000}"/>
    <cellStyle name="Normal 5 2 2 4 2 5 2 2 2" xfId="18144" xr:uid="{C8E86FD2-23FD-423F-8445-8DB031C9FFB0}"/>
    <cellStyle name="Normal 5 2 2 4 2 5 2 3" xfId="13923" xr:uid="{9D60A7E9-0CED-448B-AB15-E1FDF5DA5F33}"/>
    <cellStyle name="Normal 5 2 2 4 2 5 3" xfId="6408" xr:uid="{00000000-0005-0000-0000-00002F190000}"/>
    <cellStyle name="Normal 5 2 2 4 2 5 3 2" xfId="15999" xr:uid="{D5F99C2B-8AC2-4339-8084-FE0A0CE5FEC9}"/>
    <cellStyle name="Normal 5 2 2 4 2 5 4" xfId="11694" xr:uid="{73876F8C-1479-4DE3-A768-55D2B266104F}"/>
    <cellStyle name="Normal 5 2 2 4 2 6" xfId="2538" xr:uid="{00000000-0005-0000-0000-0000110A0000}"/>
    <cellStyle name="Normal 5 2 2 4 2 6 2" xfId="6821" xr:uid="{00000000-0005-0000-0000-0000CC1A0000}"/>
    <cellStyle name="Normal 5 2 2 4 2 6 2 2" xfId="16412" xr:uid="{17297C70-9646-4CFB-9E0A-016A5BD00FB6}"/>
    <cellStyle name="Normal 5 2 2 4 2 6 3" xfId="12130" xr:uid="{00133C23-F003-4A7E-8ECD-983847FFD4F5}"/>
    <cellStyle name="Normal 5 2 2 4 2 7" xfId="4756" xr:uid="{00000000-0005-0000-0000-0000BB120000}"/>
    <cellStyle name="Normal 5 2 2 4 2 7 2" xfId="14347" xr:uid="{05F2FCB6-478D-4233-B220-63D839610728}"/>
    <cellStyle name="Normal 5 2 2 4 2 8" xfId="9024" xr:uid="{00000000-0005-0000-0000-000067230000}"/>
    <cellStyle name="Normal 5 2 2 4 2 9" xfId="9984" xr:uid="{88F92609-8539-4A16-B994-459B1D614F6D}"/>
    <cellStyle name="Normal 5 2 2 4 3" xfId="856" xr:uid="{00000000-0005-0000-0000-00007F030000}"/>
    <cellStyle name="Normal 5 2 2 4 3 2" xfId="3091" xr:uid="{00000000-0005-0000-0000-00003A0C0000}"/>
    <cellStyle name="Normal 5 2 2 4 3 2 2" xfId="7313" xr:uid="{00000000-0005-0000-0000-0000B81C0000}"/>
    <cellStyle name="Normal 5 2 2 4 3 2 2 2" xfId="16904" xr:uid="{87EADC44-5957-4878-9D6B-D1D563BE16B4}"/>
    <cellStyle name="Normal 5 2 2 4 3 2 3" xfId="12683" xr:uid="{60920762-B773-4649-86F2-9247A9361980}"/>
    <cellStyle name="Normal 5 2 2 4 3 3" xfId="5168" xr:uid="{00000000-0005-0000-0000-000057140000}"/>
    <cellStyle name="Normal 5 2 2 4 3 3 2" xfId="14759" xr:uid="{6400E521-D4E3-49FE-ACCD-7EE1B2287137}"/>
    <cellStyle name="Normal 5 2 2 4 3 4" xfId="9242" xr:uid="{00000000-0005-0000-0000-000041240000}"/>
    <cellStyle name="Normal 5 2 2 4 3 5" xfId="10449" xr:uid="{CDD0BBEB-EDC4-48C2-AD5D-528BBEFAA7E5}"/>
    <cellStyle name="Normal 5 2 2 4 4" xfId="1274" xr:uid="{00000000-0005-0000-0000-000021050000}"/>
    <cellStyle name="Normal 5 2 2 4 4 2" xfId="3504" xr:uid="{00000000-0005-0000-0000-0000D70D0000}"/>
    <cellStyle name="Normal 5 2 2 4 4 2 2" xfId="7726" xr:uid="{00000000-0005-0000-0000-0000551E0000}"/>
    <cellStyle name="Normal 5 2 2 4 4 2 2 2" xfId="17317" xr:uid="{077B21FD-8951-4AC0-B78E-820125AB7E4C}"/>
    <cellStyle name="Normal 5 2 2 4 4 2 3" xfId="13096" xr:uid="{B85CCC06-B416-404A-938D-96FD6C5801C8}"/>
    <cellStyle name="Normal 5 2 2 4 4 3" xfId="5581" xr:uid="{00000000-0005-0000-0000-0000F4150000}"/>
    <cellStyle name="Normal 5 2 2 4 4 3 2" xfId="15172" xr:uid="{2B9CDA8E-539E-4790-B75B-3ECE2AEFD93F}"/>
    <cellStyle name="Normal 5 2 2 4 4 4" xfId="10867" xr:uid="{D49A309D-C30D-4C36-AE8C-AA55AA1330ED}"/>
    <cellStyle name="Normal 5 2 2 4 5" xfId="1687" xr:uid="{00000000-0005-0000-0000-0000BE060000}"/>
    <cellStyle name="Normal 5 2 2 4 5 2" xfId="3917" xr:uid="{00000000-0005-0000-0000-0000740F0000}"/>
    <cellStyle name="Normal 5 2 2 4 5 2 2" xfId="8139" xr:uid="{00000000-0005-0000-0000-0000F21F0000}"/>
    <cellStyle name="Normal 5 2 2 4 5 2 2 2" xfId="17730" xr:uid="{DF5B5F7A-D01F-4C1F-93AB-28A428D9764F}"/>
    <cellStyle name="Normal 5 2 2 4 5 2 3" xfId="13509" xr:uid="{D4773896-8468-4E01-90D1-866BE71C616C}"/>
    <cellStyle name="Normal 5 2 2 4 5 3" xfId="5994" xr:uid="{00000000-0005-0000-0000-000091170000}"/>
    <cellStyle name="Normal 5 2 2 4 5 3 2" xfId="15585" xr:uid="{D8936593-62E4-4CB0-AA9A-664755400DB2}"/>
    <cellStyle name="Normal 5 2 2 4 5 4" xfId="11280" xr:uid="{0DC84A2F-51EF-4E3F-8B18-C0277F1AE420}"/>
    <cellStyle name="Normal 5 2 2 4 6" xfId="2101" xr:uid="{00000000-0005-0000-0000-00005C080000}"/>
    <cellStyle name="Normal 5 2 2 4 6 2" xfId="4330" xr:uid="{00000000-0005-0000-0000-000011110000}"/>
    <cellStyle name="Normal 5 2 2 4 6 2 2" xfId="8552" xr:uid="{00000000-0005-0000-0000-00008F210000}"/>
    <cellStyle name="Normal 5 2 2 4 6 2 2 2" xfId="18143" xr:uid="{136948A6-2331-4DE0-A1D3-6E532C8D4282}"/>
    <cellStyle name="Normal 5 2 2 4 6 2 3" xfId="13922" xr:uid="{7EC969D0-58FB-4576-81D2-034CC7AF0193}"/>
    <cellStyle name="Normal 5 2 2 4 6 3" xfId="6407" xr:uid="{00000000-0005-0000-0000-00002E190000}"/>
    <cellStyle name="Normal 5 2 2 4 6 3 2" xfId="15998" xr:uid="{F316FACC-99F7-43AA-A92F-5DBD9EC3EC0B}"/>
    <cellStyle name="Normal 5 2 2 4 6 4" xfId="11693" xr:uid="{42CF65C3-FC57-4D60-9F3D-B809DC3A75D9}"/>
    <cellStyle name="Normal 5 2 2 4 7" xfId="2537" xr:uid="{00000000-0005-0000-0000-0000100A0000}"/>
    <cellStyle name="Normal 5 2 2 4 7 2" xfId="6820" xr:uid="{00000000-0005-0000-0000-0000CB1A0000}"/>
    <cellStyle name="Normal 5 2 2 4 7 2 2" xfId="16411" xr:uid="{518820BF-ECCE-4F7D-AE1E-1D2ECDEFD93E}"/>
    <cellStyle name="Normal 5 2 2 4 7 3" xfId="12129" xr:uid="{8001E38B-BC70-467B-A38E-CF6EF4AC80C0}"/>
    <cellStyle name="Normal 5 2 2 4 8" xfId="4755" xr:uid="{00000000-0005-0000-0000-0000BA120000}"/>
    <cellStyle name="Normal 5 2 2 4 8 2" xfId="14346" xr:uid="{650C98D1-81E3-48F8-B839-98DEAC8D0A54}"/>
    <cellStyle name="Normal 5 2 2 4 9" xfId="8817" xr:uid="{00000000-0005-0000-0000-000098220000}"/>
    <cellStyle name="Normal 5 2 2 5" xfId="387" xr:uid="{00000000-0005-0000-0000-0000A7010000}"/>
    <cellStyle name="Normal 5 2 2 5 2" xfId="858" xr:uid="{00000000-0005-0000-0000-000081030000}"/>
    <cellStyle name="Normal 5 2 2 5 2 2" xfId="3093" xr:uid="{00000000-0005-0000-0000-00003C0C0000}"/>
    <cellStyle name="Normal 5 2 2 5 2 2 2" xfId="7315" xr:uid="{00000000-0005-0000-0000-0000BA1C0000}"/>
    <cellStyle name="Normal 5 2 2 5 2 2 2 2" xfId="16906" xr:uid="{9E707C19-377A-4792-BDBE-34E8B1635683}"/>
    <cellStyle name="Normal 5 2 2 5 2 2 3" xfId="12685" xr:uid="{C68BBD9F-B60B-4721-A410-35258AD6561B}"/>
    <cellStyle name="Normal 5 2 2 5 2 3" xfId="5170" xr:uid="{00000000-0005-0000-0000-000059140000}"/>
    <cellStyle name="Normal 5 2 2 5 2 3 2" xfId="14761" xr:uid="{32645CB9-ABA6-4CF5-9BA7-11411812C307}"/>
    <cellStyle name="Normal 5 2 2 5 2 4" xfId="9358" xr:uid="{00000000-0005-0000-0000-0000B5240000}"/>
    <cellStyle name="Normal 5 2 2 5 2 5" xfId="10451" xr:uid="{EF0865CA-5D75-47AA-8834-B8D0A944F7D1}"/>
    <cellStyle name="Normal 5 2 2 5 3" xfId="1276" xr:uid="{00000000-0005-0000-0000-000023050000}"/>
    <cellStyle name="Normal 5 2 2 5 3 2" xfId="3506" xr:uid="{00000000-0005-0000-0000-0000D90D0000}"/>
    <cellStyle name="Normal 5 2 2 5 3 2 2" xfId="7728" xr:uid="{00000000-0005-0000-0000-0000571E0000}"/>
    <cellStyle name="Normal 5 2 2 5 3 2 2 2" xfId="17319" xr:uid="{08765CE6-94B8-4E3F-A791-6E3BAC3B23A7}"/>
    <cellStyle name="Normal 5 2 2 5 3 2 3" xfId="13098" xr:uid="{74619627-B4C2-489A-90C7-07470827FD73}"/>
    <cellStyle name="Normal 5 2 2 5 3 3" xfId="5583" xr:uid="{00000000-0005-0000-0000-0000F6150000}"/>
    <cellStyle name="Normal 5 2 2 5 3 3 2" xfId="15174" xr:uid="{41842111-640C-42E5-B4D0-6BA6A6EFA1DC}"/>
    <cellStyle name="Normal 5 2 2 5 3 4" xfId="10869" xr:uid="{91AB850B-EB9F-4FAE-A3D6-309F96440F58}"/>
    <cellStyle name="Normal 5 2 2 5 4" xfId="1689" xr:uid="{00000000-0005-0000-0000-0000C0060000}"/>
    <cellStyle name="Normal 5 2 2 5 4 2" xfId="3919" xr:uid="{00000000-0005-0000-0000-0000760F0000}"/>
    <cellStyle name="Normal 5 2 2 5 4 2 2" xfId="8141" xr:uid="{00000000-0005-0000-0000-0000F41F0000}"/>
    <cellStyle name="Normal 5 2 2 5 4 2 2 2" xfId="17732" xr:uid="{28D2DE1D-1B3F-4F83-84C5-EE7B581DD471}"/>
    <cellStyle name="Normal 5 2 2 5 4 2 3" xfId="13511" xr:uid="{2E7FF11B-0507-493A-A005-12BDDFAD7139}"/>
    <cellStyle name="Normal 5 2 2 5 4 3" xfId="5996" xr:uid="{00000000-0005-0000-0000-000093170000}"/>
    <cellStyle name="Normal 5 2 2 5 4 3 2" xfId="15587" xr:uid="{7E9A25C8-157C-4000-9B2E-DC58DE78453B}"/>
    <cellStyle name="Normal 5 2 2 5 4 4" xfId="11282" xr:uid="{CDBF61CF-88D3-4082-81EE-2590FA247559}"/>
    <cellStyle name="Normal 5 2 2 5 5" xfId="2103" xr:uid="{00000000-0005-0000-0000-00005E080000}"/>
    <cellStyle name="Normal 5 2 2 5 5 2" xfId="4332" xr:uid="{00000000-0005-0000-0000-000013110000}"/>
    <cellStyle name="Normal 5 2 2 5 5 2 2" xfId="8554" xr:uid="{00000000-0005-0000-0000-000091210000}"/>
    <cellStyle name="Normal 5 2 2 5 5 2 2 2" xfId="18145" xr:uid="{3AB7D9E3-AA22-46D2-AFDA-9692E8D0C1C9}"/>
    <cellStyle name="Normal 5 2 2 5 5 2 3" xfId="13924" xr:uid="{71C6B425-04FA-439D-952B-3B3C1CC9F755}"/>
    <cellStyle name="Normal 5 2 2 5 5 3" xfId="6409" xr:uid="{00000000-0005-0000-0000-000030190000}"/>
    <cellStyle name="Normal 5 2 2 5 5 3 2" xfId="16000" xr:uid="{AEBE92A2-C04B-46F4-8C11-37692440C923}"/>
    <cellStyle name="Normal 5 2 2 5 5 4" xfId="11695" xr:uid="{DB016B8B-44F7-4433-AB0D-D59DC6ADA468}"/>
    <cellStyle name="Normal 5 2 2 5 6" xfId="2539" xr:uid="{00000000-0005-0000-0000-0000120A0000}"/>
    <cellStyle name="Normal 5 2 2 5 6 2" xfId="6822" xr:uid="{00000000-0005-0000-0000-0000CD1A0000}"/>
    <cellStyle name="Normal 5 2 2 5 6 2 2" xfId="16413" xr:uid="{70744D58-D528-495B-8B9F-40473E08E56C}"/>
    <cellStyle name="Normal 5 2 2 5 6 3" xfId="12131" xr:uid="{E45BDB52-7D65-4107-9078-E85F7B93F942}"/>
    <cellStyle name="Normal 5 2 2 5 7" xfId="4757" xr:uid="{00000000-0005-0000-0000-0000BC120000}"/>
    <cellStyle name="Normal 5 2 2 5 7 2" xfId="14348" xr:uid="{C27CA58E-6401-44B6-B292-DF2DF3325866}"/>
    <cellStyle name="Normal 5 2 2 5 8" xfId="8933" xr:uid="{00000000-0005-0000-0000-00000C230000}"/>
    <cellStyle name="Normal 5 2 2 5 9" xfId="9985" xr:uid="{7F364559-6014-4970-8E16-7BF5E38A76C6}"/>
    <cellStyle name="Normal 5 2 2 6" xfId="843" xr:uid="{00000000-0005-0000-0000-000072030000}"/>
    <cellStyle name="Normal 5 2 2 6 2" xfId="3078" xr:uid="{00000000-0005-0000-0000-00002D0C0000}"/>
    <cellStyle name="Normal 5 2 2 6 2 2" xfId="7300" xr:uid="{00000000-0005-0000-0000-0000AB1C0000}"/>
    <cellStyle name="Normal 5 2 2 6 2 2 2" xfId="16891" xr:uid="{81BCCDEE-F35C-46CE-A3AC-514306D0DDC5}"/>
    <cellStyle name="Normal 5 2 2 6 2 3" xfId="12670" xr:uid="{9E719BDF-57DA-4943-A6A4-9E1064D86225}"/>
    <cellStyle name="Normal 5 2 2 6 3" xfId="5155" xr:uid="{00000000-0005-0000-0000-00004A140000}"/>
    <cellStyle name="Normal 5 2 2 6 3 2" xfId="14746" xr:uid="{02A9E2C9-A144-44BF-B41A-84FA2AC5C995}"/>
    <cellStyle name="Normal 5 2 2 6 4" xfId="9136" xr:uid="{00000000-0005-0000-0000-0000D7230000}"/>
    <cellStyle name="Normal 5 2 2 6 5" xfId="10436" xr:uid="{7EB34CED-4D71-4E43-A4D7-62EA97A8E90E}"/>
    <cellStyle name="Normal 5 2 2 7" xfId="1261" xr:uid="{00000000-0005-0000-0000-000014050000}"/>
    <cellStyle name="Normal 5 2 2 7 2" xfId="3491" xr:uid="{00000000-0005-0000-0000-0000CA0D0000}"/>
    <cellStyle name="Normal 5 2 2 7 2 2" xfId="7713" xr:uid="{00000000-0005-0000-0000-0000481E0000}"/>
    <cellStyle name="Normal 5 2 2 7 2 2 2" xfId="17304" xr:uid="{13C2867D-B70A-4030-9E8E-407CA0D3EFF1}"/>
    <cellStyle name="Normal 5 2 2 7 2 3" xfId="13083" xr:uid="{1D19D87E-DBC1-4AB0-A496-A9B1031AFF6B}"/>
    <cellStyle name="Normal 5 2 2 7 3" xfId="5568" xr:uid="{00000000-0005-0000-0000-0000E7150000}"/>
    <cellStyle name="Normal 5 2 2 7 3 2" xfId="15159" xr:uid="{4322414C-2EB9-4B97-B699-0CA437DC314C}"/>
    <cellStyle name="Normal 5 2 2 7 4" xfId="10854" xr:uid="{02210497-256C-4003-9C9F-40A34B103CDF}"/>
    <cellStyle name="Normal 5 2 2 8" xfId="1674" xr:uid="{00000000-0005-0000-0000-0000B1060000}"/>
    <cellStyle name="Normal 5 2 2 8 2" xfId="3904" xr:uid="{00000000-0005-0000-0000-0000670F0000}"/>
    <cellStyle name="Normal 5 2 2 8 2 2" xfId="8126" xr:uid="{00000000-0005-0000-0000-0000E51F0000}"/>
    <cellStyle name="Normal 5 2 2 8 2 2 2" xfId="17717" xr:uid="{F186AFF9-ACAD-4229-9AF7-5AA38A5FC9F4}"/>
    <cellStyle name="Normal 5 2 2 8 2 3" xfId="13496" xr:uid="{AEF6A7FD-0D3B-47C9-8212-D148953750DF}"/>
    <cellStyle name="Normal 5 2 2 8 3" xfId="5981" xr:uid="{00000000-0005-0000-0000-000084170000}"/>
    <cellStyle name="Normal 5 2 2 8 3 2" xfId="15572" xr:uid="{9455784A-F2AB-474E-ABF8-C069036805BF}"/>
    <cellStyle name="Normal 5 2 2 8 4" xfId="11267" xr:uid="{BA96E4C1-DBC2-467F-A71F-6D1B5C379750}"/>
    <cellStyle name="Normal 5 2 2 9" xfId="2088" xr:uid="{00000000-0005-0000-0000-00004F080000}"/>
    <cellStyle name="Normal 5 2 2 9 2" xfId="4317" xr:uid="{00000000-0005-0000-0000-000004110000}"/>
    <cellStyle name="Normal 5 2 2 9 2 2" xfId="8539" xr:uid="{00000000-0005-0000-0000-000082210000}"/>
    <cellStyle name="Normal 5 2 2 9 2 2 2" xfId="18130" xr:uid="{CE668793-884E-46E5-BD07-B4C56E569DFF}"/>
    <cellStyle name="Normal 5 2 2 9 2 3" xfId="13909" xr:uid="{0C6A6459-06A4-4EE9-A146-6D3EBF5143EE}"/>
    <cellStyle name="Normal 5 2 2 9 3" xfId="6394" xr:uid="{00000000-0005-0000-0000-000021190000}"/>
    <cellStyle name="Normal 5 2 2 9 3 2" xfId="15985" xr:uid="{F31A20C9-FC6F-468F-BF25-505F90AA6185}"/>
    <cellStyle name="Normal 5 2 2 9 4" xfId="11680" xr:uid="{0BED8255-31E3-4FF0-BAF0-2CBC2399E695}"/>
    <cellStyle name="Normal 5 2 3" xfId="388" xr:uid="{00000000-0005-0000-0000-0000A8010000}"/>
    <cellStyle name="Normal 5 2 3 10" xfId="4758" xr:uid="{00000000-0005-0000-0000-0000BD120000}"/>
    <cellStyle name="Normal 5 2 3 10 2" xfId="14349" xr:uid="{0EB75A6C-BDA9-4EBC-A520-EDBFF472CDFA}"/>
    <cellStyle name="Normal 5 2 3 11" xfId="8737" xr:uid="{00000000-0005-0000-0000-000048220000}"/>
    <cellStyle name="Normal 5 2 3 12" xfId="9986" xr:uid="{9E08B883-C652-42E3-8F11-354D59FDAA43}"/>
    <cellStyle name="Normal 5 2 3 2" xfId="389" xr:uid="{00000000-0005-0000-0000-0000A9010000}"/>
    <cellStyle name="Normal 5 2 3 2 10" xfId="8791" xr:uid="{00000000-0005-0000-0000-00007E220000}"/>
    <cellStyle name="Normal 5 2 3 2 11" xfId="9987" xr:uid="{C654DBAB-ED0B-4628-8D1E-4379BA5C1FDF}"/>
    <cellStyle name="Normal 5 2 3 2 2" xfId="390" xr:uid="{00000000-0005-0000-0000-0000AA010000}"/>
    <cellStyle name="Normal 5 2 3 2 2 10" xfId="9988" xr:uid="{C2A99381-BAC6-40D3-8411-AA23C35ED0F0}"/>
    <cellStyle name="Normal 5 2 3 2 2 2" xfId="391" xr:uid="{00000000-0005-0000-0000-0000AB010000}"/>
    <cellStyle name="Normal 5 2 3 2 2 2 2" xfId="862" xr:uid="{00000000-0005-0000-0000-000085030000}"/>
    <cellStyle name="Normal 5 2 3 2 2 2 2 2" xfId="3097" xr:uid="{00000000-0005-0000-0000-0000400C0000}"/>
    <cellStyle name="Normal 5 2 3 2 2 2 2 2 2" xfId="7319" xr:uid="{00000000-0005-0000-0000-0000BE1C0000}"/>
    <cellStyle name="Normal 5 2 3 2 2 2 2 2 2 2" xfId="16910" xr:uid="{1B5F4880-2D4F-4F06-95C1-8B7BE2C4B9A8}"/>
    <cellStyle name="Normal 5 2 3 2 2 2 2 2 3" xfId="12689" xr:uid="{75FD0013-AC6F-4046-8505-CD88BD31E489}"/>
    <cellStyle name="Normal 5 2 3 2 2 2 2 3" xfId="5174" xr:uid="{00000000-0005-0000-0000-00005D140000}"/>
    <cellStyle name="Normal 5 2 3 2 2 2 2 3 2" xfId="14765" xr:uid="{F4E07D85-A731-4DEC-93E3-A328C1A2A534}"/>
    <cellStyle name="Normal 5 2 3 2 2 2 2 4" xfId="9526" xr:uid="{00000000-0005-0000-0000-00005D250000}"/>
    <cellStyle name="Normal 5 2 3 2 2 2 2 5" xfId="10455" xr:uid="{B4D4AEB2-59E3-4C82-A0FA-41F6884950A2}"/>
    <cellStyle name="Normal 5 2 3 2 2 2 3" xfId="1280" xr:uid="{00000000-0005-0000-0000-000027050000}"/>
    <cellStyle name="Normal 5 2 3 2 2 2 3 2" xfId="3510" xr:uid="{00000000-0005-0000-0000-0000DD0D0000}"/>
    <cellStyle name="Normal 5 2 3 2 2 2 3 2 2" xfId="7732" xr:uid="{00000000-0005-0000-0000-00005B1E0000}"/>
    <cellStyle name="Normal 5 2 3 2 2 2 3 2 2 2" xfId="17323" xr:uid="{18A3B3A6-68A2-4799-82B4-3EB7083D80A5}"/>
    <cellStyle name="Normal 5 2 3 2 2 2 3 2 3" xfId="13102" xr:uid="{C08988C1-7D0C-40EF-8A5E-6D75C22E9035}"/>
    <cellStyle name="Normal 5 2 3 2 2 2 3 3" xfId="5587" xr:uid="{00000000-0005-0000-0000-0000FA150000}"/>
    <cellStyle name="Normal 5 2 3 2 2 2 3 3 2" xfId="15178" xr:uid="{1F6036F2-3986-4F3D-AED8-931A9B730286}"/>
    <cellStyle name="Normal 5 2 3 2 2 2 3 4" xfId="10873" xr:uid="{AD65B44B-7D40-49D8-83A7-4B07C37599AB}"/>
    <cellStyle name="Normal 5 2 3 2 2 2 4" xfId="1693" xr:uid="{00000000-0005-0000-0000-0000C4060000}"/>
    <cellStyle name="Normal 5 2 3 2 2 2 4 2" xfId="3923" xr:uid="{00000000-0005-0000-0000-00007A0F0000}"/>
    <cellStyle name="Normal 5 2 3 2 2 2 4 2 2" xfId="8145" xr:uid="{00000000-0005-0000-0000-0000F81F0000}"/>
    <cellStyle name="Normal 5 2 3 2 2 2 4 2 2 2" xfId="17736" xr:uid="{EB31C159-9EB0-40B8-934E-29633DDCE401}"/>
    <cellStyle name="Normal 5 2 3 2 2 2 4 2 3" xfId="13515" xr:uid="{966376E6-171C-4DD5-8B53-522F0C4A6F7C}"/>
    <cellStyle name="Normal 5 2 3 2 2 2 4 3" xfId="6000" xr:uid="{00000000-0005-0000-0000-000097170000}"/>
    <cellStyle name="Normal 5 2 3 2 2 2 4 3 2" xfId="15591" xr:uid="{E63F1FD6-8E12-45CB-97B9-2D7E57294E87}"/>
    <cellStyle name="Normal 5 2 3 2 2 2 4 4" xfId="11286" xr:uid="{D82AA7F2-F012-4758-AC7B-8BA004EE5AA2}"/>
    <cellStyle name="Normal 5 2 3 2 2 2 5" xfId="2107" xr:uid="{00000000-0005-0000-0000-000062080000}"/>
    <cellStyle name="Normal 5 2 3 2 2 2 5 2" xfId="4336" xr:uid="{00000000-0005-0000-0000-000017110000}"/>
    <cellStyle name="Normal 5 2 3 2 2 2 5 2 2" xfId="8558" xr:uid="{00000000-0005-0000-0000-000095210000}"/>
    <cellStyle name="Normal 5 2 3 2 2 2 5 2 2 2" xfId="18149" xr:uid="{79556CD4-47CB-45A6-BF7A-9286364ED257}"/>
    <cellStyle name="Normal 5 2 3 2 2 2 5 2 3" xfId="13928" xr:uid="{B2F72C85-2BAB-422A-A020-2293D3DED5DE}"/>
    <cellStyle name="Normal 5 2 3 2 2 2 5 3" xfId="6413" xr:uid="{00000000-0005-0000-0000-000034190000}"/>
    <cellStyle name="Normal 5 2 3 2 2 2 5 3 2" xfId="16004" xr:uid="{FF8FD4C5-3FFD-47D6-B3FC-FEE5CA36E111}"/>
    <cellStyle name="Normal 5 2 3 2 2 2 5 4" xfId="11699" xr:uid="{1E562633-5684-4CA3-BC09-89DE04F0C2A3}"/>
    <cellStyle name="Normal 5 2 3 2 2 2 6" xfId="2543" xr:uid="{00000000-0005-0000-0000-0000160A0000}"/>
    <cellStyle name="Normal 5 2 3 2 2 2 6 2" xfId="6826" xr:uid="{00000000-0005-0000-0000-0000D11A0000}"/>
    <cellStyle name="Normal 5 2 3 2 2 2 6 2 2" xfId="16417" xr:uid="{25FD4DC5-5ACB-49C2-A2E1-FF8CE40D5C11}"/>
    <cellStyle name="Normal 5 2 3 2 2 2 6 3" xfId="12135" xr:uid="{C2086268-B6F5-4A19-83AA-52BF72D6497C}"/>
    <cellStyle name="Normal 5 2 3 2 2 2 7" xfId="4761" xr:uid="{00000000-0005-0000-0000-0000C0120000}"/>
    <cellStyle name="Normal 5 2 3 2 2 2 7 2" xfId="14352" xr:uid="{EB744764-D274-4969-AAD4-41570DE107AC}"/>
    <cellStyle name="Normal 5 2 3 2 2 2 8" xfId="9101" xr:uid="{00000000-0005-0000-0000-0000B4230000}"/>
    <cellStyle name="Normal 5 2 3 2 2 2 9" xfId="9989" xr:uid="{7BCE88F4-A53C-4ED4-A2B3-D001757ACAA1}"/>
    <cellStyle name="Normal 5 2 3 2 2 3" xfId="861" xr:uid="{00000000-0005-0000-0000-000084030000}"/>
    <cellStyle name="Normal 5 2 3 2 2 3 2" xfId="3096" xr:uid="{00000000-0005-0000-0000-00003F0C0000}"/>
    <cellStyle name="Normal 5 2 3 2 2 3 2 2" xfId="7318" xr:uid="{00000000-0005-0000-0000-0000BD1C0000}"/>
    <cellStyle name="Normal 5 2 3 2 2 3 2 2 2" xfId="16909" xr:uid="{587B92B5-F400-4C20-8C48-5B098AACD6C9}"/>
    <cellStyle name="Normal 5 2 3 2 2 3 2 3" xfId="12688" xr:uid="{ECF03120-3CD0-40E8-AE87-3F4DE5EA8AE8}"/>
    <cellStyle name="Normal 5 2 3 2 2 3 3" xfId="5173" xr:uid="{00000000-0005-0000-0000-00005C140000}"/>
    <cellStyle name="Normal 5 2 3 2 2 3 3 2" xfId="14764" xr:uid="{4C912701-D582-4C12-A966-50058ACBB805}"/>
    <cellStyle name="Normal 5 2 3 2 2 3 4" xfId="9319" xr:uid="{00000000-0005-0000-0000-00008E240000}"/>
    <cellStyle name="Normal 5 2 3 2 2 3 5" xfId="10454" xr:uid="{E19717AF-43CB-48A8-8D6E-A3F1355B33E5}"/>
    <cellStyle name="Normal 5 2 3 2 2 4" xfId="1279" xr:uid="{00000000-0005-0000-0000-000026050000}"/>
    <cellStyle name="Normal 5 2 3 2 2 4 2" xfId="3509" xr:uid="{00000000-0005-0000-0000-0000DC0D0000}"/>
    <cellStyle name="Normal 5 2 3 2 2 4 2 2" xfId="7731" xr:uid="{00000000-0005-0000-0000-00005A1E0000}"/>
    <cellStyle name="Normal 5 2 3 2 2 4 2 2 2" xfId="17322" xr:uid="{2DF52322-0947-4513-9F9E-5A7CF2CAD965}"/>
    <cellStyle name="Normal 5 2 3 2 2 4 2 3" xfId="13101" xr:uid="{A7FF2E2B-4D32-4681-BC3C-6E478D922F7B}"/>
    <cellStyle name="Normal 5 2 3 2 2 4 3" xfId="5586" xr:uid="{00000000-0005-0000-0000-0000F9150000}"/>
    <cellStyle name="Normal 5 2 3 2 2 4 3 2" xfId="15177" xr:uid="{C8A0773A-7480-433B-AF01-E8EA328EFC04}"/>
    <cellStyle name="Normal 5 2 3 2 2 4 4" xfId="10872" xr:uid="{302F4F9B-EF67-4E89-9212-93D11F80C012}"/>
    <cellStyle name="Normal 5 2 3 2 2 5" xfId="1692" xr:uid="{00000000-0005-0000-0000-0000C3060000}"/>
    <cellStyle name="Normal 5 2 3 2 2 5 2" xfId="3922" xr:uid="{00000000-0005-0000-0000-0000790F0000}"/>
    <cellStyle name="Normal 5 2 3 2 2 5 2 2" xfId="8144" xr:uid="{00000000-0005-0000-0000-0000F71F0000}"/>
    <cellStyle name="Normal 5 2 3 2 2 5 2 2 2" xfId="17735" xr:uid="{4D21D6F5-C91A-4456-87B2-49CC59E39A7B}"/>
    <cellStyle name="Normal 5 2 3 2 2 5 2 3" xfId="13514" xr:uid="{09538CFB-71D1-4DB8-B926-99ED68214C57}"/>
    <cellStyle name="Normal 5 2 3 2 2 5 3" xfId="5999" xr:uid="{00000000-0005-0000-0000-000096170000}"/>
    <cellStyle name="Normal 5 2 3 2 2 5 3 2" xfId="15590" xr:uid="{C2107695-737E-4633-961C-0BFF59ADBCB6}"/>
    <cellStyle name="Normal 5 2 3 2 2 5 4" xfId="11285" xr:uid="{C95FCDEC-9310-431B-8C29-D44ED5940BE4}"/>
    <cellStyle name="Normal 5 2 3 2 2 6" xfId="2106" xr:uid="{00000000-0005-0000-0000-000061080000}"/>
    <cellStyle name="Normal 5 2 3 2 2 6 2" xfId="4335" xr:uid="{00000000-0005-0000-0000-000016110000}"/>
    <cellStyle name="Normal 5 2 3 2 2 6 2 2" xfId="8557" xr:uid="{00000000-0005-0000-0000-000094210000}"/>
    <cellStyle name="Normal 5 2 3 2 2 6 2 2 2" xfId="18148" xr:uid="{C5A0C626-697E-4713-BD6D-35EC6CC7BA6D}"/>
    <cellStyle name="Normal 5 2 3 2 2 6 2 3" xfId="13927" xr:uid="{FAC979BF-91E1-4BCC-950E-A7668047E158}"/>
    <cellStyle name="Normal 5 2 3 2 2 6 3" xfId="6412" xr:uid="{00000000-0005-0000-0000-000033190000}"/>
    <cellStyle name="Normal 5 2 3 2 2 6 3 2" xfId="16003" xr:uid="{FAA64D92-11B9-4E3F-976F-FE1655023999}"/>
    <cellStyle name="Normal 5 2 3 2 2 6 4" xfId="11698" xr:uid="{38BD25C1-5A26-4EF0-A301-B12FEEAAF9B8}"/>
    <cellStyle name="Normal 5 2 3 2 2 7" xfId="2542" xr:uid="{00000000-0005-0000-0000-0000150A0000}"/>
    <cellStyle name="Normal 5 2 3 2 2 7 2" xfId="6825" xr:uid="{00000000-0005-0000-0000-0000D01A0000}"/>
    <cellStyle name="Normal 5 2 3 2 2 7 2 2" xfId="16416" xr:uid="{E298046D-F35D-4F77-9F4C-DF4D842B8529}"/>
    <cellStyle name="Normal 5 2 3 2 2 7 3" xfId="12134" xr:uid="{A2BB6161-4A75-4D63-BFE0-28D67C8717B6}"/>
    <cellStyle name="Normal 5 2 3 2 2 8" xfId="4760" xr:uid="{00000000-0005-0000-0000-0000BF120000}"/>
    <cellStyle name="Normal 5 2 3 2 2 8 2" xfId="14351" xr:uid="{906EC681-C6F4-44C0-8E22-F85593B1CE77}"/>
    <cellStyle name="Normal 5 2 3 2 2 9" xfId="8894" xr:uid="{00000000-0005-0000-0000-0000E5220000}"/>
    <cellStyle name="Normal 5 2 3 2 3" xfId="392" xr:uid="{00000000-0005-0000-0000-0000AC010000}"/>
    <cellStyle name="Normal 5 2 3 2 3 2" xfId="863" xr:uid="{00000000-0005-0000-0000-000086030000}"/>
    <cellStyle name="Normal 5 2 3 2 3 2 2" xfId="3098" xr:uid="{00000000-0005-0000-0000-0000410C0000}"/>
    <cellStyle name="Normal 5 2 3 2 3 2 2 2" xfId="7320" xr:uid="{00000000-0005-0000-0000-0000BF1C0000}"/>
    <cellStyle name="Normal 5 2 3 2 3 2 2 2 2" xfId="16911" xr:uid="{88B4555D-12A0-4EB4-BBA0-7969036ED40B}"/>
    <cellStyle name="Normal 5 2 3 2 3 2 2 3" xfId="12690" xr:uid="{336177A9-AA22-4C50-B08E-79453B04F8BC}"/>
    <cellStyle name="Normal 5 2 3 2 3 2 3" xfId="5175" xr:uid="{00000000-0005-0000-0000-00005E140000}"/>
    <cellStyle name="Normal 5 2 3 2 3 2 3 2" xfId="14766" xr:uid="{F62C55B9-85AE-405A-A59C-CF7D35ACF18B}"/>
    <cellStyle name="Normal 5 2 3 2 3 2 4" xfId="9423" xr:uid="{00000000-0005-0000-0000-0000F6240000}"/>
    <cellStyle name="Normal 5 2 3 2 3 2 5" xfId="10456" xr:uid="{4C542225-AE43-45DC-8CC1-E888AD9A761B}"/>
    <cellStyle name="Normal 5 2 3 2 3 3" xfId="1281" xr:uid="{00000000-0005-0000-0000-000028050000}"/>
    <cellStyle name="Normal 5 2 3 2 3 3 2" xfId="3511" xr:uid="{00000000-0005-0000-0000-0000DE0D0000}"/>
    <cellStyle name="Normal 5 2 3 2 3 3 2 2" xfId="7733" xr:uid="{00000000-0005-0000-0000-00005C1E0000}"/>
    <cellStyle name="Normal 5 2 3 2 3 3 2 2 2" xfId="17324" xr:uid="{2676E09E-BCC7-4700-9C58-30B502BF36B3}"/>
    <cellStyle name="Normal 5 2 3 2 3 3 2 3" xfId="13103" xr:uid="{9B2AD3B7-28B3-4D61-873F-89F1699E1E75}"/>
    <cellStyle name="Normal 5 2 3 2 3 3 3" xfId="5588" xr:uid="{00000000-0005-0000-0000-0000FB150000}"/>
    <cellStyle name="Normal 5 2 3 2 3 3 3 2" xfId="15179" xr:uid="{94F9AA17-A4BE-4C40-A43C-845DBCF0811E}"/>
    <cellStyle name="Normal 5 2 3 2 3 3 4" xfId="10874" xr:uid="{39D86C65-D21D-4FD7-836E-E349FC1F0A94}"/>
    <cellStyle name="Normal 5 2 3 2 3 4" xfId="1694" xr:uid="{00000000-0005-0000-0000-0000C5060000}"/>
    <cellStyle name="Normal 5 2 3 2 3 4 2" xfId="3924" xr:uid="{00000000-0005-0000-0000-00007B0F0000}"/>
    <cellStyle name="Normal 5 2 3 2 3 4 2 2" xfId="8146" xr:uid="{00000000-0005-0000-0000-0000F91F0000}"/>
    <cellStyle name="Normal 5 2 3 2 3 4 2 2 2" xfId="17737" xr:uid="{F4D57B6E-318E-4903-A5F4-CF4693AE99F1}"/>
    <cellStyle name="Normal 5 2 3 2 3 4 2 3" xfId="13516" xr:uid="{85552617-7A4B-4C61-BA17-6E7328327C91}"/>
    <cellStyle name="Normal 5 2 3 2 3 4 3" xfId="6001" xr:uid="{00000000-0005-0000-0000-000098170000}"/>
    <cellStyle name="Normal 5 2 3 2 3 4 3 2" xfId="15592" xr:uid="{8410A02E-0F6E-4FD2-A315-6D568BA0E6B9}"/>
    <cellStyle name="Normal 5 2 3 2 3 4 4" xfId="11287" xr:uid="{FF3ED225-A846-4BA2-A7FF-EB5867141BFF}"/>
    <cellStyle name="Normal 5 2 3 2 3 5" xfId="2108" xr:uid="{00000000-0005-0000-0000-000063080000}"/>
    <cellStyle name="Normal 5 2 3 2 3 5 2" xfId="4337" xr:uid="{00000000-0005-0000-0000-000018110000}"/>
    <cellStyle name="Normal 5 2 3 2 3 5 2 2" xfId="8559" xr:uid="{00000000-0005-0000-0000-000096210000}"/>
    <cellStyle name="Normal 5 2 3 2 3 5 2 2 2" xfId="18150" xr:uid="{F8AB2550-1F21-476B-8977-88C6408418DA}"/>
    <cellStyle name="Normal 5 2 3 2 3 5 2 3" xfId="13929" xr:uid="{18526A6B-5E34-416A-8398-F981496ED09E}"/>
    <cellStyle name="Normal 5 2 3 2 3 5 3" xfId="6414" xr:uid="{00000000-0005-0000-0000-000035190000}"/>
    <cellStyle name="Normal 5 2 3 2 3 5 3 2" xfId="16005" xr:uid="{EE058528-8A36-40D3-AD09-5DA3600C71E6}"/>
    <cellStyle name="Normal 5 2 3 2 3 5 4" xfId="11700" xr:uid="{7E27D6A4-10C9-4F3E-8FF9-E30C0F1EE5D5}"/>
    <cellStyle name="Normal 5 2 3 2 3 6" xfId="2544" xr:uid="{00000000-0005-0000-0000-0000170A0000}"/>
    <cellStyle name="Normal 5 2 3 2 3 6 2" xfId="6827" xr:uid="{00000000-0005-0000-0000-0000D21A0000}"/>
    <cellStyle name="Normal 5 2 3 2 3 6 2 2" xfId="16418" xr:uid="{7182DB96-92F9-44D7-918F-283347199942}"/>
    <cellStyle name="Normal 5 2 3 2 3 6 3" xfId="12136" xr:uid="{7D7E6B79-AB69-4A10-9B74-ED0878D867C3}"/>
    <cellStyle name="Normal 5 2 3 2 3 7" xfId="4762" xr:uid="{00000000-0005-0000-0000-0000C1120000}"/>
    <cellStyle name="Normal 5 2 3 2 3 7 2" xfId="14353" xr:uid="{1A7F1BC1-72FF-414C-A8A0-D551F5003D6A}"/>
    <cellStyle name="Normal 5 2 3 2 3 8" xfId="8998" xr:uid="{00000000-0005-0000-0000-00004D230000}"/>
    <cellStyle name="Normal 5 2 3 2 3 9" xfId="9990" xr:uid="{5765B015-31A1-4923-AA1C-9E5CF083D9E0}"/>
    <cellStyle name="Normal 5 2 3 2 4" xfId="860" xr:uid="{00000000-0005-0000-0000-000083030000}"/>
    <cellStyle name="Normal 5 2 3 2 4 2" xfId="3095" xr:uid="{00000000-0005-0000-0000-00003E0C0000}"/>
    <cellStyle name="Normal 5 2 3 2 4 2 2" xfId="7317" xr:uid="{00000000-0005-0000-0000-0000BC1C0000}"/>
    <cellStyle name="Normal 5 2 3 2 4 2 2 2" xfId="16908" xr:uid="{5689CB78-B62D-4490-9A6B-C9B9B0FD0C45}"/>
    <cellStyle name="Normal 5 2 3 2 4 2 3" xfId="12687" xr:uid="{B2C75528-5292-4165-9889-0CF4E96E4579}"/>
    <cellStyle name="Normal 5 2 3 2 4 3" xfId="5172" xr:uid="{00000000-0005-0000-0000-00005B140000}"/>
    <cellStyle name="Normal 5 2 3 2 4 3 2" xfId="14763" xr:uid="{87C90517-7C0F-4196-B6B5-52634F7EDC1C}"/>
    <cellStyle name="Normal 5 2 3 2 4 4" xfId="9216" xr:uid="{00000000-0005-0000-0000-000027240000}"/>
    <cellStyle name="Normal 5 2 3 2 4 5" xfId="10453" xr:uid="{3CF2A624-FF3F-447A-A4D9-04D58F5B6A1D}"/>
    <cellStyle name="Normal 5 2 3 2 5" xfId="1278" xr:uid="{00000000-0005-0000-0000-000025050000}"/>
    <cellStyle name="Normal 5 2 3 2 5 2" xfId="3508" xr:uid="{00000000-0005-0000-0000-0000DB0D0000}"/>
    <cellStyle name="Normal 5 2 3 2 5 2 2" xfId="7730" xr:uid="{00000000-0005-0000-0000-0000591E0000}"/>
    <cellStyle name="Normal 5 2 3 2 5 2 2 2" xfId="17321" xr:uid="{D18220AC-EB88-4975-A354-F9EAD5936297}"/>
    <cellStyle name="Normal 5 2 3 2 5 2 3" xfId="13100" xr:uid="{EFA209A8-8822-4D2B-AEA7-72E444878685}"/>
    <cellStyle name="Normal 5 2 3 2 5 3" xfId="5585" xr:uid="{00000000-0005-0000-0000-0000F8150000}"/>
    <cellStyle name="Normal 5 2 3 2 5 3 2" xfId="15176" xr:uid="{ABDEC182-2A47-4EC3-962B-D1384BA921F2}"/>
    <cellStyle name="Normal 5 2 3 2 5 4" xfId="10871" xr:uid="{C63FE6A2-871E-467C-97CB-4CA8801BDED3}"/>
    <cellStyle name="Normal 5 2 3 2 6" xfId="1691" xr:uid="{00000000-0005-0000-0000-0000C2060000}"/>
    <cellStyle name="Normal 5 2 3 2 6 2" xfId="3921" xr:uid="{00000000-0005-0000-0000-0000780F0000}"/>
    <cellStyle name="Normal 5 2 3 2 6 2 2" xfId="8143" xr:uid="{00000000-0005-0000-0000-0000F61F0000}"/>
    <cellStyle name="Normal 5 2 3 2 6 2 2 2" xfId="17734" xr:uid="{EA911222-1F89-4230-A923-9CAB2DE165C9}"/>
    <cellStyle name="Normal 5 2 3 2 6 2 3" xfId="13513" xr:uid="{34577A5A-1393-4C9D-B742-FA5D5F750954}"/>
    <cellStyle name="Normal 5 2 3 2 6 3" xfId="5998" xr:uid="{00000000-0005-0000-0000-000095170000}"/>
    <cellStyle name="Normal 5 2 3 2 6 3 2" xfId="15589" xr:uid="{0F372FA9-9184-4D91-8464-82EB873013F9}"/>
    <cellStyle name="Normal 5 2 3 2 6 4" xfId="11284" xr:uid="{1B404853-A682-4CF7-B61B-E08713BB7564}"/>
    <cellStyle name="Normal 5 2 3 2 7" xfId="2105" xr:uid="{00000000-0005-0000-0000-000060080000}"/>
    <cellStyle name="Normal 5 2 3 2 7 2" xfId="4334" xr:uid="{00000000-0005-0000-0000-000015110000}"/>
    <cellStyle name="Normal 5 2 3 2 7 2 2" xfId="8556" xr:uid="{00000000-0005-0000-0000-000093210000}"/>
    <cellStyle name="Normal 5 2 3 2 7 2 2 2" xfId="18147" xr:uid="{7A9B6602-66E7-46A0-B388-81C00B9D7461}"/>
    <cellStyle name="Normal 5 2 3 2 7 2 3" xfId="13926" xr:uid="{C862A03A-A954-47C6-BC4F-FDAFDD3475F9}"/>
    <cellStyle name="Normal 5 2 3 2 7 3" xfId="6411" xr:uid="{00000000-0005-0000-0000-000032190000}"/>
    <cellStyle name="Normal 5 2 3 2 7 3 2" xfId="16002" xr:uid="{F9C44397-6CCF-4B9B-A809-3B4F69234C22}"/>
    <cellStyle name="Normal 5 2 3 2 7 4" xfId="11697" xr:uid="{635ECB80-E209-4474-8700-9E124F9B08D6}"/>
    <cellStyle name="Normal 5 2 3 2 8" xfId="2541" xr:uid="{00000000-0005-0000-0000-0000140A0000}"/>
    <cellStyle name="Normal 5 2 3 2 8 2" xfId="6824" xr:uid="{00000000-0005-0000-0000-0000CF1A0000}"/>
    <cellStyle name="Normal 5 2 3 2 8 2 2" xfId="16415" xr:uid="{C4ADF620-F0A0-4406-BCC6-B2041BE3B1C2}"/>
    <cellStyle name="Normal 5 2 3 2 8 3" xfId="12133" xr:uid="{CEF7C6E6-0125-433B-8B00-F6FD05D97455}"/>
    <cellStyle name="Normal 5 2 3 2 9" xfId="4759" xr:uid="{00000000-0005-0000-0000-0000BE120000}"/>
    <cellStyle name="Normal 5 2 3 2 9 2" xfId="14350" xr:uid="{FB48AEF4-30FE-4144-BD6F-8D0D4D9B1325}"/>
    <cellStyle name="Normal 5 2 3 3" xfId="393" xr:uid="{00000000-0005-0000-0000-0000AD010000}"/>
    <cellStyle name="Normal 5 2 3 3 10" xfId="9991" xr:uid="{33768776-76EB-47F0-89BD-A2E7C2A90711}"/>
    <cellStyle name="Normal 5 2 3 3 2" xfId="394" xr:uid="{00000000-0005-0000-0000-0000AE010000}"/>
    <cellStyle name="Normal 5 2 3 3 2 2" xfId="865" xr:uid="{00000000-0005-0000-0000-000088030000}"/>
    <cellStyle name="Normal 5 2 3 3 2 2 2" xfId="3100" xr:uid="{00000000-0005-0000-0000-0000430C0000}"/>
    <cellStyle name="Normal 5 2 3 3 2 2 2 2" xfId="7322" xr:uid="{00000000-0005-0000-0000-0000C11C0000}"/>
    <cellStyle name="Normal 5 2 3 3 2 2 2 2 2" xfId="16913" xr:uid="{42EF0B21-FDC5-4CF2-8B15-30D221583082}"/>
    <cellStyle name="Normal 5 2 3 3 2 2 2 3" xfId="12692" xr:uid="{2B0D8F5D-7B11-470D-B528-43B596FFBEFE}"/>
    <cellStyle name="Normal 5 2 3 3 2 2 3" xfId="5177" xr:uid="{00000000-0005-0000-0000-000060140000}"/>
    <cellStyle name="Normal 5 2 3 3 2 2 3 2" xfId="14768" xr:uid="{8A5A14E9-E8DA-4B2C-A16E-226F25EDABAC}"/>
    <cellStyle name="Normal 5 2 3 3 2 2 4" xfId="9472" xr:uid="{00000000-0005-0000-0000-000027250000}"/>
    <cellStyle name="Normal 5 2 3 3 2 2 5" xfId="10458" xr:uid="{2FF11740-65FC-4049-8D36-82D97576CD97}"/>
    <cellStyle name="Normal 5 2 3 3 2 3" xfId="1283" xr:uid="{00000000-0005-0000-0000-00002A050000}"/>
    <cellStyle name="Normal 5 2 3 3 2 3 2" xfId="3513" xr:uid="{00000000-0005-0000-0000-0000E00D0000}"/>
    <cellStyle name="Normal 5 2 3 3 2 3 2 2" xfId="7735" xr:uid="{00000000-0005-0000-0000-00005E1E0000}"/>
    <cellStyle name="Normal 5 2 3 3 2 3 2 2 2" xfId="17326" xr:uid="{803694E5-FE4B-4ED4-9721-EEF56B51FCB2}"/>
    <cellStyle name="Normal 5 2 3 3 2 3 2 3" xfId="13105" xr:uid="{7CCB07BE-9BC8-4541-8D2A-80CFDEF6D759}"/>
    <cellStyle name="Normal 5 2 3 3 2 3 3" xfId="5590" xr:uid="{00000000-0005-0000-0000-0000FD150000}"/>
    <cellStyle name="Normal 5 2 3 3 2 3 3 2" xfId="15181" xr:uid="{DDF41B13-74C2-4862-9D0B-2A5BC65D92CD}"/>
    <cellStyle name="Normal 5 2 3 3 2 3 4" xfId="10876" xr:uid="{ADD06E55-AEAF-49BB-AA70-4527D73BCF4C}"/>
    <cellStyle name="Normal 5 2 3 3 2 4" xfId="1696" xr:uid="{00000000-0005-0000-0000-0000C7060000}"/>
    <cellStyle name="Normal 5 2 3 3 2 4 2" xfId="3926" xr:uid="{00000000-0005-0000-0000-00007D0F0000}"/>
    <cellStyle name="Normal 5 2 3 3 2 4 2 2" xfId="8148" xr:uid="{00000000-0005-0000-0000-0000FB1F0000}"/>
    <cellStyle name="Normal 5 2 3 3 2 4 2 2 2" xfId="17739" xr:uid="{FFF3B9BF-861D-4D9B-8743-3E70A964B11A}"/>
    <cellStyle name="Normal 5 2 3 3 2 4 2 3" xfId="13518" xr:uid="{BBE973A5-BA86-485D-8FE6-F02BCBA11C83}"/>
    <cellStyle name="Normal 5 2 3 3 2 4 3" xfId="6003" xr:uid="{00000000-0005-0000-0000-00009A170000}"/>
    <cellStyle name="Normal 5 2 3 3 2 4 3 2" xfId="15594" xr:uid="{5330D64B-10B9-4BB2-9C2E-E2538E9D9642}"/>
    <cellStyle name="Normal 5 2 3 3 2 4 4" xfId="11289" xr:uid="{EAA2F50B-C851-4C9A-9510-2D686D8F9F0E}"/>
    <cellStyle name="Normal 5 2 3 3 2 5" xfId="2110" xr:uid="{00000000-0005-0000-0000-000065080000}"/>
    <cellStyle name="Normal 5 2 3 3 2 5 2" xfId="4339" xr:uid="{00000000-0005-0000-0000-00001A110000}"/>
    <cellStyle name="Normal 5 2 3 3 2 5 2 2" xfId="8561" xr:uid="{00000000-0005-0000-0000-000098210000}"/>
    <cellStyle name="Normal 5 2 3 3 2 5 2 2 2" xfId="18152" xr:uid="{901DF396-7427-431C-A187-C64C452EB9E1}"/>
    <cellStyle name="Normal 5 2 3 3 2 5 2 3" xfId="13931" xr:uid="{548FA80F-ED98-44F4-ABE0-034383977980}"/>
    <cellStyle name="Normal 5 2 3 3 2 5 3" xfId="6416" xr:uid="{00000000-0005-0000-0000-000037190000}"/>
    <cellStyle name="Normal 5 2 3 3 2 5 3 2" xfId="16007" xr:uid="{E50429DA-03A7-44E0-926F-7A0AAAE1E6AD}"/>
    <cellStyle name="Normal 5 2 3 3 2 5 4" xfId="11702" xr:uid="{95CA17B0-B050-430C-BA25-1115BA6EE554}"/>
    <cellStyle name="Normal 5 2 3 3 2 6" xfId="2546" xr:uid="{00000000-0005-0000-0000-0000190A0000}"/>
    <cellStyle name="Normal 5 2 3 3 2 6 2" xfId="6829" xr:uid="{00000000-0005-0000-0000-0000D41A0000}"/>
    <cellStyle name="Normal 5 2 3 3 2 6 2 2" xfId="16420" xr:uid="{A1CFB4DA-F7C5-4F29-927A-B0F4D730CE88}"/>
    <cellStyle name="Normal 5 2 3 3 2 6 3" xfId="12138" xr:uid="{75D0056E-C493-43F1-9543-475B61E13F8C}"/>
    <cellStyle name="Normal 5 2 3 3 2 7" xfId="4764" xr:uid="{00000000-0005-0000-0000-0000C3120000}"/>
    <cellStyle name="Normal 5 2 3 3 2 7 2" xfId="14355" xr:uid="{B1AD89E8-DA7B-43CF-8862-101C8E732DDD}"/>
    <cellStyle name="Normal 5 2 3 3 2 8" xfId="9047" xr:uid="{00000000-0005-0000-0000-00007E230000}"/>
    <cellStyle name="Normal 5 2 3 3 2 9" xfId="9992" xr:uid="{B90F3B32-4920-4FC1-9BBB-B4C70CF5A955}"/>
    <cellStyle name="Normal 5 2 3 3 3" xfId="864" xr:uid="{00000000-0005-0000-0000-000087030000}"/>
    <cellStyle name="Normal 5 2 3 3 3 2" xfId="3099" xr:uid="{00000000-0005-0000-0000-0000420C0000}"/>
    <cellStyle name="Normal 5 2 3 3 3 2 2" xfId="7321" xr:uid="{00000000-0005-0000-0000-0000C01C0000}"/>
    <cellStyle name="Normal 5 2 3 3 3 2 2 2" xfId="16912" xr:uid="{8FAC09C5-C050-48C8-832C-DF6FC7C9C7C1}"/>
    <cellStyle name="Normal 5 2 3 3 3 2 3" xfId="12691" xr:uid="{B2DEC6A6-D05F-4794-AB04-297B6115DADD}"/>
    <cellStyle name="Normal 5 2 3 3 3 3" xfId="5176" xr:uid="{00000000-0005-0000-0000-00005F140000}"/>
    <cellStyle name="Normal 5 2 3 3 3 3 2" xfId="14767" xr:uid="{93B1A63E-49E9-4BCF-8664-FC06DBA1F565}"/>
    <cellStyle name="Normal 5 2 3 3 3 4" xfId="9265" xr:uid="{00000000-0005-0000-0000-000058240000}"/>
    <cellStyle name="Normal 5 2 3 3 3 5" xfId="10457" xr:uid="{61532C03-4C82-4DF2-9E46-9488502D6910}"/>
    <cellStyle name="Normal 5 2 3 3 4" xfId="1282" xr:uid="{00000000-0005-0000-0000-000029050000}"/>
    <cellStyle name="Normal 5 2 3 3 4 2" xfId="3512" xr:uid="{00000000-0005-0000-0000-0000DF0D0000}"/>
    <cellStyle name="Normal 5 2 3 3 4 2 2" xfId="7734" xr:uid="{00000000-0005-0000-0000-00005D1E0000}"/>
    <cellStyle name="Normal 5 2 3 3 4 2 2 2" xfId="17325" xr:uid="{DBD6DC45-C79E-402F-BCB1-AC03AD014B96}"/>
    <cellStyle name="Normal 5 2 3 3 4 2 3" xfId="13104" xr:uid="{A77A5F85-9D4E-43C8-8D27-8C38726113A6}"/>
    <cellStyle name="Normal 5 2 3 3 4 3" xfId="5589" xr:uid="{00000000-0005-0000-0000-0000FC150000}"/>
    <cellStyle name="Normal 5 2 3 3 4 3 2" xfId="15180" xr:uid="{A7AFC64C-890B-40F1-9192-18C712028347}"/>
    <cellStyle name="Normal 5 2 3 3 4 4" xfId="10875" xr:uid="{BA1F4600-9BDD-4F02-AEAD-A47BB6FB0C53}"/>
    <cellStyle name="Normal 5 2 3 3 5" xfId="1695" xr:uid="{00000000-0005-0000-0000-0000C6060000}"/>
    <cellStyle name="Normal 5 2 3 3 5 2" xfId="3925" xr:uid="{00000000-0005-0000-0000-00007C0F0000}"/>
    <cellStyle name="Normal 5 2 3 3 5 2 2" xfId="8147" xr:uid="{00000000-0005-0000-0000-0000FA1F0000}"/>
    <cellStyle name="Normal 5 2 3 3 5 2 2 2" xfId="17738" xr:uid="{68C811BA-5562-4E95-98D8-4901D35F7BF0}"/>
    <cellStyle name="Normal 5 2 3 3 5 2 3" xfId="13517" xr:uid="{6EB3E9CF-0BE1-4EE3-90E1-0339F64C2105}"/>
    <cellStyle name="Normal 5 2 3 3 5 3" xfId="6002" xr:uid="{00000000-0005-0000-0000-000099170000}"/>
    <cellStyle name="Normal 5 2 3 3 5 3 2" xfId="15593" xr:uid="{C6EC3633-A72B-4419-A894-4D32C193ECD0}"/>
    <cellStyle name="Normal 5 2 3 3 5 4" xfId="11288" xr:uid="{DED6C084-F623-46E3-BA5F-38B96F94CC42}"/>
    <cellStyle name="Normal 5 2 3 3 6" xfId="2109" xr:uid="{00000000-0005-0000-0000-000064080000}"/>
    <cellStyle name="Normal 5 2 3 3 6 2" xfId="4338" xr:uid="{00000000-0005-0000-0000-000019110000}"/>
    <cellStyle name="Normal 5 2 3 3 6 2 2" xfId="8560" xr:uid="{00000000-0005-0000-0000-000097210000}"/>
    <cellStyle name="Normal 5 2 3 3 6 2 2 2" xfId="18151" xr:uid="{B5569DDE-2F97-4B5A-BE55-FEA2A3BE21E7}"/>
    <cellStyle name="Normal 5 2 3 3 6 2 3" xfId="13930" xr:uid="{68D64967-D5B0-4B72-AF19-4EA162A3979A}"/>
    <cellStyle name="Normal 5 2 3 3 6 3" xfId="6415" xr:uid="{00000000-0005-0000-0000-000036190000}"/>
    <cellStyle name="Normal 5 2 3 3 6 3 2" xfId="16006" xr:uid="{1B87D3CC-96D8-4FA3-8B6D-D7318B592E5D}"/>
    <cellStyle name="Normal 5 2 3 3 6 4" xfId="11701" xr:uid="{3B5CB831-39EC-48B3-9A9A-0DB2457297F2}"/>
    <cellStyle name="Normal 5 2 3 3 7" xfId="2545" xr:uid="{00000000-0005-0000-0000-0000180A0000}"/>
    <cellStyle name="Normal 5 2 3 3 7 2" xfId="6828" xr:uid="{00000000-0005-0000-0000-0000D31A0000}"/>
    <cellStyle name="Normal 5 2 3 3 7 2 2" xfId="16419" xr:uid="{4A6D1AE3-06DE-46C4-B030-967A7754CB61}"/>
    <cellStyle name="Normal 5 2 3 3 7 3" xfId="12137" xr:uid="{5B0FEAB0-5483-493F-BCDB-25CFCDE3182A}"/>
    <cellStyle name="Normal 5 2 3 3 8" xfId="4763" xr:uid="{00000000-0005-0000-0000-0000C2120000}"/>
    <cellStyle name="Normal 5 2 3 3 8 2" xfId="14354" xr:uid="{A04FDC25-CF62-4A28-8B5C-7E27D9350923}"/>
    <cellStyle name="Normal 5 2 3 3 9" xfId="8840" xr:uid="{00000000-0005-0000-0000-0000AF220000}"/>
    <cellStyle name="Normal 5 2 3 4" xfId="395" xr:uid="{00000000-0005-0000-0000-0000AF010000}"/>
    <cellStyle name="Normal 5 2 3 4 2" xfId="866" xr:uid="{00000000-0005-0000-0000-000089030000}"/>
    <cellStyle name="Normal 5 2 3 4 2 2" xfId="3101" xr:uid="{00000000-0005-0000-0000-0000440C0000}"/>
    <cellStyle name="Normal 5 2 3 4 2 2 2" xfId="7323" xr:uid="{00000000-0005-0000-0000-0000C21C0000}"/>
    <cellStyle name="Normal 5 2 3 4 2 2 2 2" xfId="16914" xr:uid="{6966D973-C7A9-4139-ACD9-9CC3DD1AA44A}"/>
    <cellStyle name="Normal 5 2 3 4 2 2 3" xfId="12693" xr:uid="{96037991-F777-45F7-80C0-1BA26C3868CB}"/>
    <cellStyle name="Normal 5 2 3 4 2 3" xfId="5178" xr:uid="{00000000-0005-0000-0000-000061140000}"/>
    <cellStyle name="Normal 5 2 3 4 2 3 2" xfId="14769" xr:uid="{AC2DE132-BB92-4AA4-A910-265BA728FCA0}"/>
    <cellStyle name="Normal 5 2 3 4 2 4" xfId="9369" xr:uid="{00000000-0005-0000-0000-0000C0240000}"/>
    <cellStyle name="Normal 5 2 3 4 2 5" xfId="10459" xr:uid="{9AB15F85-3F00-4508-A3B6-8AA4417E40D7}"/>
    <cellStyle name="Normal 5 2 3 4 3" xfId="1284" xr:uid="{00000000-0005-0000-0000-00002B050000}"/>
    <cellStyle name="Normal 5 2 3 4 3 2" xfId="3514" xr:uid="{00000000-0005-0000-0000-0000E10D0000}"/>
    <cellStyle name="Normal 5 2 3 4 3 2 2" xfId="7736" xr:uid="{00000000-0005-0000-0000-00005F1E0000}"/>
    <cellStyle name="Normal 5 2 3 4 3 2 2 2" xfId="17327" xr:uid="{963F5495-B92F-4E72-9F7C-1D00721B9891}"/>
    <cellStyle name="Normal 5 2 3 4 3 2 3" xfId="13106" xr:uid="{52E75B06-AB8D-40E9-827E-4D3961B924F1}"/>
    <cellStyle name="Normal 5 2 3 4 3 3" xfId="5591" xr:uid="{00000000-0005-0000-0000-0000FE150000}"/>
    <cellStyle name="Normal 5 2 3 4 3 3 2" xfId="15182" xr:uid="{D9B2DE4E-63A0-4202-B92A-8CEB37118170}"/>
    <cellStyle name="Normal 5 2 3 4 3 4" xfId="10877" xr:uid="{FFC11626-8FBE-4042-BC0C-BB589DED00DF}"/>
    <cellStyle name="Normal 5 2 3 4 4" xfId="1697" xr:uid="{00000000-0005-0000-0000-0000C8060000}"/>
    <cellStyle name="Normal 5 2 3 4 4 2" xfId="3927" xr:uid="{00000000-0005-0000-0000-00007E0F0000}"/>
    <cellStyle name="Normal 5 2 3 4 4 2 2" xfId="8149" xr:uid="{00000000-0005-0000-0000-0000FC1F0000}"/>
    <cellStyle name="Normal 5 2 3 4 4 2 2 2" xfId="17740" xr:uid="{976EDC2B-F6BA-499B-BD94-CDD015C9CECB}"/>
    <cellStyle name="Normal 5 2 3 4 4 2 3" xfId="13519" xr:uid="{9A958271-880C-4D74-ACFF-A7C558AC005F}"/>
    <cellStyle name="Normal 5 2 3 4 4 3" xfId="6004" xr:uid="{00000000-0005-0000-0000-00009B170000}"/>
    <cellStyle name="Normal 5 2 3 4 4 3 2" xfId="15595" xr:uid="{C77F34D2-B8FA-48D3-9F69-3BB308127105}"/>
    <cellStyle name="Normal 5 2 3 4 4 4" xfId="11290" xr:uid="{10B8C923-8078-4389-814B-BCC85756E055}"/>
    <cellStyle name="Normal 5 2 3 4 5" xfId="2111" xr:uid="{00000000-0005-0000-0000-000066080000}"/>
    <cellStyle name="Normal 5 2 3 4 5 2" xfId="4340" xr:uid="{00000000-0005-0000-0000-00001B110000}"/>
    <cellStyle name="Normal 5 2 3 4 5 2 2" xfId="8562" xr:uid="{00000000-0005-0000-0000-000099210000}"/>
    <cellStyle name="Normal 5 2 3 4 5 2 2 2" xfId="18153" xr:uid="{3B00C7AB-1991-43BA-8AB1-0AE2775C1C4C}"/>
    <cellStyle name="Normal 5 2 3 4 5 2 3" xfId="13932" xr:uid="{CCC59CE0-028C-4B76-8B05-E9412F2C3949}"/>
    <cellStyle name="Normal 5 2 3 4 5 3" xfId="6417" xr:uid="{00000000-0005-0000-0000-000038190000}"/>
    <cellStyle name="Normal 5 2 3 4 5 3 2" xfId="16008" xr:uid="{D822AE4A-A1AD-43DA-AFDA-2CC9DFB8045C}"/>
    <cellStyle name="Normal 5 2 3 4 5 4" xfId="11703" xr:uid="{2CEC0A3B-CDE5-44CF-8171-26C994F5CF52}"/>
    <cellStyle name="Normal 5 2 3 4 6" xfId="2547" xr:uid="{00000000-0005-0000-0000-00001A0A0000}"/>
    <cellStyle name="Normal 5 2 3 4 6 2" xfId="6830" xr:uid="{00000000-0005-0000-0000-0000D51A0000}"/>
    <cellStyle name="Normal 5 2 3 4 6 2 2" xfId="16421" xr:uid="{32E62B39-C35B-4870-8458-011FB6DE59F3}"/>
    <cellStyle name="Normal 5 2 3 4 6 3" xfId="12139" xr:uid="{BEF28495-A07A-4933-AD4D-470B28378334}"/>
    <cellStyle name="Normal 5 2 3 4 7" xfId="4765" xr:uid="{00000000-0005-0000-0000-0000C4120000}"/>
    <cellStyle name="Normal 5 2 3 4 7 2" xfId="14356" xr:uid="{1A8BD881-F747-40D8-9FA9-9A92E187B7B6}"/>
    <cellStyle name="Normal 5 2 3 4 8" xfId="8944" xr:uid="{00000000-0005-0000-0000-000017230000}"/>
    <cellStyle name="Normal 5 2 3 4 9" xfId="9993" xr:uid="{D0B6F452-B228-4C64-92DA-7562AA2E0EDE}"/>
    <cellStyle name="Normal 5 2 3 5" xfId="859" xr:uid="{00000000-0005-0000-0000-000082030000}"/>
    <cellStyle name="Normal 5 2 3 5 2" xfId="3094" xr:uid="{00000000-0005-0000-0000-00003D0C0000}"/>
    <cellStyle name="Normal 5 2 3 5 2 2" xfId="7316" xr:uid="{00000000-0005-0000-0000-0000BB1C0000}"/>
    <cellStyle name="Normal 5 2 3 5 2 2 2" xfId="16907" xr:uid="{E31918BB-246A-486A-98AD-B87F2B3CCDB9}"/>
    <cellStyle name="Normal 5 2 3 5 2 3" xfId="12686" xr:uid="{7ADEB286-4555-48BA-BD4C-663184FA27F2}"/>
    <cellStyle name="Normal 5 2 3 5 3" xfId="5171" xr:uid="{00000000-0005-0000-0000-00005A140000}"/>
    <cellStyle name="Normal 5 2 3 5 3 2" xfId="14762" xr:uid="{197C9877-3704-4F56-9E7D-006781720DD4}"/>
    <cellStyle name="Normal 5 2 3 5 4" xfId="9161" xr:uid="{00000000-0005-0000-0000-0000F0230000}"/>
    <cellStyle name="Normal 5 2 3 5 5" xfId="10452" xr:uid="{5E7CBB9A-4BBD-4E8B-B04E-0E86F423AD01}"/>
    <cellStyle name="Normal 5 2 3 6" xfId="1277" xr:uid="{00000000-0005-0000-0000-000024050000}"/>
    <cellStyle name="Normal 5 2 3 6 2" xfId="3507" xr:uid="{00000000-0005-0000-0000-0000DA0D0000}"/>
    <cellStyle name="Normal 5 2 3 6 2 2" xfId="7729" xr:uid="{00000000-0005-0000-0000-0000581E0000}"/>
    <cellStyle name="Normal 5 2 3 6 2 2 2" xfId="17320" xr:uid="{88AD086B-E755-44FB-89C1-4F988F9B275B}"/>
    <cellStyle name="Normal 5 2 3 6 2 3" xfId="13099" xr:uid="{D2C0E952-35CF-4D66-B66C-1C8E43A3A29F}"/>
    <cellStyle name="Normal 5 2 3 6 3" xfId="5584" xr:uid="{00000000-0005-0000-0000-0000F7150000}"/>
    <cellStyle name="Normal 5 2 3 6 3 2" xfId="15175" xr:uid="{CD120183-B710-4984-A799-4DDE9BE7210C}"/>
    <cellStyle name="Normal 5 2 3 6 4" xfId="10870" xr:uid="{18444D63-4476-4FD5-8401-B0687073EDEF}"/>
    <cellStyle name="Normal 5 2 3 7" xfId="1690" xr:uid="{00000000-0005-0000-0000-0000C1060000}"/>
    <cellStyle name="Normal 5 2 3 7 2" xfId="3920" xr:uid="{00000000-0005-0000-0000-0000770F0000}"/>
    <cellStyle name="Normal 5 2 3 7 2 2" xfId="8142" xr:uid="{00000000-0005-0000-0000-0000F51F0000}"/>
    <cellStyle name="Normal 5 2 3 7 2 2 2" xfId="17733" xr:uid="{42095A41-F161-4597-B2BD-4F0FF37657EB}"/>
    <cellStyle name="Normal 5 2 3 7 2 3" xfId="13512" xr:uid="{23F151D6-1AB2-4285-B8F7-D29499B9146C}"/>
    <cellStyle name="Normal 5 2 3 7 3" xfId="5997" xr:uid="{00000000-0005-0000-0000-000094170000}"/>
    <cellStyle name="Normal 5 2 3 7 3 2" xfId="15588" xr:uid="{0BDA35A1-B99F-4B6B-9100-70A323607FBF}"/>
    <cellStyle name="Normal 5 2 3 7 4" xfId="11283" xr:uid="{FC4C2653-6190-461C-9950-B9788D53D81F}"/>
    <cellStyle name="Normal 5 2 3 8" xfId="2104" xr:uid="{00000000-0005-0000-0000-00005F080000}"/>
    <cellStyle name="Normal 5 2 3 8 2" xfId="4333" xr:uid="{00000000-0005-0000-0000-000014110000}"/>
    <cellStyle name="Normal 5 2 3 8 2 2" xfId="8555" xr:uid="{00000000-0005-0000-0000-000092210000}"/>
    <cellStyle name="Normal 5 2 3 8 2 2 2" xfId="18146" xr:uid="{7339F32B-1791-4FC0-8B60-A47181ECFB64}"/>
    <cellStyle name="Normal 5 2 3 8 2 3" xfId="13925" xr:uid="{5FF6D505-CA17-4628-892F-0505A483EF5A}"/>
    <cellStyle name="Normal 5 2 3 8 3" xfId="6410" xr:uid="{00000000-0005-0000-0000-000031190000}"/>
    <cellStyle name="Normal 5 2 3 8 3 2" xfId="16001" xr:uid="{0D875F39-2693-443B-8175-144A8B0DE885}"/>
    <cellStyle name="Normal 5 2 3 8 4" xfId="11696" xr:uid="{E8D4F9B6-645D-4A95-BCBC-C0C8B170874A}"/>
    <cellStyle name="Normal 5 2 3 9" xfId="2540" xr:uid="{00000000-0005-0000-0000-0000130A0000}"/>
    <cellStyle name="Normal 5 2 3 9 2" xfId="6823" xr:uid="{00000000-0005-0000-0000-0000CE1A0000}"/>
    <cellStyle name="Normal 5 2 3 9 2 2" xfId="16414" xr:uid="{9F2420A7-90CC-47DA-BBB8-B175D07C016B}"/>
    <cellStyle name="Normal 5 2 3 9 3" xfId="12132" xr:uid="{3D3650D8-6359-428D-8219-6B507B08E910}"/>
    <cellStyle name="Normal 5 2 4" xfId="396" xr:uid="{00000000-0005-0000-0000-0000B0010000}"/>
    <cellStyle name="Normal 5 2 4 10" xfId="8788" xr:uid="{00000000-0005-0000-0000-00007B220000}"/>
    <cellStyle name="Normal 5 2 4 11" xfId="9994" xr:uid="{4900AB29-AB3D-4A3E-975C-5E5A0AE5A543}"/>
    <cellStyle name="Normal 5 2 4 2" xfId="397" xr:uid="{00000000-0005-0000-0000-0000B1010000}"/>
    <cellStyle name="Normal 5 2 4 2 10" xfId="9995" xr:uid="{8BA631C5-4276-472D-B814-2FB799DB742D}"/>
    <cellStyle name="Normal 5 2 4 2 2" xfId="398" xr:uid="{00000000-0005-0000-0000-0000B2010000}"/>
    <cellStyle name="Normal 5 2 4 2 2 2" xfId="869" xr:uid="{00000000-0005-0000-0000-00008C030000}"/>
    <cellStyle name="Normal 5 2 4 2 2 2 2" xfId="3104" xr:uid="{00000000-0005-0000-0000-0000470C0000}"/>
    <cellStyle name="Normal 5 2 4 2 2 2 2 2" xfId="7326" xr:uid="{00000000-0005-0000-0000-0000C51C0000}"/>
    <cellStyle name="Normal 5 2 4 2 2 2 2 2 2" xfId="16917" xr:uid="{17B4DC3B-42D3-4B4A-B3F6-8676BE771742}"/>
    <cellStyle name="Normal 5 2 4 2 2 2 2 3" xfId="12696" xr:uid="{05427FED-E618-4C4A-A6A4-3AA469D01C5D}"/>
    <cellStyle name="Normal 5 2 4 2 2 2 3" xfId="5181" xr:uid="{00000000-0005-0000-0000-000064140000}"/>
    <cellStyle name="Normal 5 2 4 2 2 2 3 2" xfId="14772" xr:uid="{C2C2642E-3D29-4D0B-AEA9-25C093123969}"/>
    <cellStyle name="Normal 5 2 4 2 2 2 4" xfId="9523" xr:uid="{00000000-0005-0000-0000-00005A250000}"/>
    <cellStyle name="Normal 5 2 4 2 2 2 5" xfId="10462" xr:uid="{0F456875-0DF3-4B1D-9394-66EAE8384D1A}"/>
    <cellStyle name="Normal 5 2 4 2 2 3" xfId="1287" xr:uid="{00000000-0005-0000-0000-00002E050000}"/>
    <cellStyle name="Normal 5 2 4 2 2 3 2" xfId="3517" xr:uid="{00000000-0005-0000-0000-0000E40D0000}"/>
    <cellStyle name="Normal 5 2 4 2 2 3 2 2" xfId="7739" xr:uid="{00000000-0005-0000-0000-0000621E0000}"/>
    <cellStyle name="Normal 5 2 4 2 2 3 2 2 2" xfId="17330" xr:uid="{A3136A00-9755-4C65-BECE-79A750D68BBB}"/>
    <cellStyle name="Normal 5 2 4 2 2 3 2 3" xfId="13109" xr:uid="{7D2A7BCE-8390-4FA9-BB5F-4015E78CB8C9}"/>
    <cellStyle name="Normal 5 2 4 2 2 3 3" xfId="5594" xr:uid="{00000000-0005-0000-0000-000001160000}"/>
    <cellStyle name="Normal 5 2 4 2 2 3 3 2" xfId="15185" xr:uid="{0EE61FD0-E80E-412E-8D40-C168B598395F}"/>
    <cellStyle name="Normal 5 2 4 2 2 3 4" xfId="10880" xr:uid="{EA98B468-53A7-426C-8533-6E35EAA4B1B8}"/>
    <cellStyle name="Normal 5 2 4 2 2 4" xfId="1700" xr:uid="{00000000-0005-0000-0000-0000CB060000}"/>
    <cellStyle name="Normal 5 2 4 2 2 4 2" xfId="3930" xr:uid="{00000000-0005-0000-0000-0000810F0000}"/>
    <cellStyle name="Normal 5 2 4 2 2 4 2 2" xfId="8152" xr:uid="{00000000-0005-0000-0000-0000FF1F0000}"/>
    <cellStyle name="Normal 5 2 4 2 2 4 2 2 2" xfId="17743" xr:uid="{C817E791-DA7C-4720-83C4-6F331BD5E832}"/>
    <cellStyle name="Normal 5 2 4 2 2 4 2 3" xfId="13522" xr:uid="{A6EDE747-87CB-472C-94CB-122ED59577AC}"/>
    <cellStyle name="Normal 5 2 4 2 2 4 3" xfId="6007" xr:uid="{00000000-0005-0000-0000-00009E170000}"/>
    <cellStyle name="Normal 5 2 4 2 2 4 3 2" xfId="15598" xr:uid="{D40BC1C3-D09C-471B-97CE-E2A67F6BCC7A}"/>
    <cellStyle name="Normal 5 2 4 2 2 4 4" xfId="11293" xr:uid="{BE5EE66B-26F5-4286-AA55-7AE031A18CCD}"/>
    <cellStyle name="Normal 5 2 4 2 2 5" xfId="2114" xr:uid="{00000000-0005-0000-0000-000069080000}"/>
    <cellStyle name="Normal 5 2 4 2 2 5 2" xfId="4343" xr:uid="{00000000-0005-0000-0000-00001E110000}"/>
    <cellStyle name="Normal 5 2 4 2 2 5 2 2" xfId="8565" xr:uid="{00000000-0005-0000-0000-00009C210000}"/>
    <cellStyle name="Normal 5 2 4 2 2 5 2 2 2" xfId="18156" xr:uid="{C38978A4-49C7-4C9B-9633-9D7AB02BE1A9}"/>
    <cellStyle name="Normal 5 2 4 2 2 5 2 3" xfId="13935" xr:uid="{F63EBFBC-DBAC-48E7-A46B-3D70F685FEDE}"/>
    <cellStyle name="Normal 5 2 4 2 2 5 3" xfId="6420" xr:uid="{00000000-0005-0000-0000-00003B190000}"/>
    <cellStyle name="Normal 5 2 4 2 2 5 3 2" xfId="16011" xr:uid="{8F19AC64-D3DE-4C03-92CF-FDE2679224AF}"/>
    <cellStyle name="Normal 5 2 4 2 2 5 4" xfId="11706" xr:uid="{8BB8218D-D6D3-4B94-B503-0C7A862B8817}"/>
    <cellStyle name="Normal 5 2 4 2 2 6" xfId="2550" xr:uid="{00000000-0005-0000-0000-00001D0A0000}"/>
    <cellStyle name="Normal 5 2 4 2 2 6 2" xfId="6833" xr:uid="{00000000-0005-0000-0000-0000D81A0000}"/>
    <cellStyle name="Normal 5 2 4 2 2 6 2 2" xfId="16424" xr:uid="{1DF57CDC-A8A4-4FE2-993C-E7E8EDF3BCA8}"/>
    <cellStyle name="Normal 5 2 4 2 2 6 3" xfId="12142" xr:uid="{C70158F7-9ED5-4559-B4A0-170A93F49938}"/>
    <cellStyle name="Normal 5 2 4 2 2 7" xfId="4768" xr:uid="{00000000-0005-0000-0000-0000C7120000}"/>
    <cellStyle name="Normal 5 2 4 2 2 7 2" xfId="14359" xr:uid="{1B393C6E-9B43-4B1C-AE4B-D489B7A37A1D}"/>
    <cellStyle name="Normal 5 2 4 2 2 8" xfId="9098" xr:uid="{00000000-0005-0000-0000-0000B1230000}"/>
    <cellStyle name="Normal 5 2 4 2 2 9" xfId="9996" xr:uid="{2ABCC3EF-F7DD-4262-BAD9-B4864D09DAE1}"/>
    <cellStyle name="Normal 5 2 4 2 3" xfId="868" xr:uid="{00000000-0005-0000-0000-00008B030000}"/>
    <cellStyle name="Normal 5 2 4 2 3 2" xfId="3103" xr:uid="{00000000-0005-0000-0000-0000460C0000}"/>
    <cellStyle name="Normal 5 2 4 2 3 2 2" xfId="7325" xr:uid="{00000000-0005-0000-0000-0000C41C0000}"/>
    <cellStyle name="Normal 5 2 4 2 3 2 2 2" xfId="16916" xr:uid="{542B5284-F414-4448-B39E-D7B6C557BBE6}"/>
    <cellStyle name="Normal 5 2 4 2 3 2 3" xfId="12695" xr:uid="{4DB82574-7D2C-408B-A581-BC1CE46C0607}"/>
    <cellStyle name="Normal 5 2 4 2 3 3" xfId="5180" xr:uid="{00000000-0005-0000-0000-000063140000}"/>
    <cellStyle name="Normal 5 2 4 2 3 3 2" xfId="14771" xr:uid="{038969FC-E105-4D82-B8D4-0845360FA230}"/>
    <cellStyle name="Normal 5 2 4 2 3 4" xfId="9316" xr:uid="{00000000-0005-0000-0000-00008B240000}"/>
    <cellStyle name="Normal 5 2 4 2 3 5" xfId="10461" xr:uid="{CFA8BF27-EE45-4458-9C4D-AA4466CCF9AB}"/>
    <cellStyle name="Normal 5 2 4 2 4" xfId="1286" xr:uid="{00000000-0005-0000-0000-00002D050000}"/>
    <cellStyle name="Normal 5 2 4 2 4 2" xfId="3516" xr:uid="{00000000-0005-0000-0000-0000E30D0000}"/>
    <cellStyle name="Normal 5 2 4 2 4 2 2" xfId="7738" xr:uid="{00000000-0005-0000-0000-0000611E0000}"/>
    <cellStyle name="Normal 5 2 4 2 4 2 2 2" xfId="17329" xr:uid="{7E08A88C-DE4E-429B-A695-B0F8F342A9B1}"/>
    <cellStyle name="Normal 5 2 4 2 4 2 3" xfId="13108" xr:uid="{5204A717-7062-4A4A-9825-CDE42361C3AB}"/>
    <cellStyle name="Normal 5 2 4 2 4 3" xfId="5593" xr:uid="{00000000-0005-0000-0000-000000160000}"/>
    <cellStyle name="Normal 5 2 4 2 4 3 2" xfId="15184" xr:uid="{04BBF049-1535-45AD-BA8E-8444E78C7D41}"/>
    <cellStyle name="Normal 5 2 4 2 4 4" xfId="10879" xr:uid="{A9AB5CBB-21D0-4527-AE81-AD69E9595367}"/>
    <cellStyle name="Normal 5 2 4 2 5" xfId="1699" xr:uid="{00000000-0005-0000-0000-0000CA060000}"/>
    <cellStyle name="Normal 5 2 4 2 5 2" xfId="3929" xr:uid="{00000000-0005-0000-0000-0000800F0000}"/>
    <cellStyle name="Normal 5 2 4 2 5 2 2" xfId="8151" xr:uid="{00000000-0005-0000-0000-0000FE1F0000}"/>
    <cellStyle name="Normal 5 2 4 2 5 2 2 2" xfId="17742" xr:uid="{7D729378-F45A-4705-A7C3-747C4868CEAA}"/>
    <cellStyle name="Normal 5 2 4 2 5 2 3" xfId="13521" xr:uid="{F91BDEC7-6F23-4992-AFA7-FB303DFDCC59}"/>
    <cellStyle name="Normal 5 2 4 2 5 3" xfId="6006" xr:uid="{00000000-0005-0000-0000-00009D170000}"/>
    <cellStyle name="Normal 5 2 4 2 5 3 2" xfId="15597" xr:uid="{33EC3E62-FC74-423A-9A1B-109BBD05F5F4}"/>
    <cellStyle name="Normal 5 2 4 2 5 4" xfId="11292" xr:uid="{1C42F37B-E52D-43E9-8B3D-BB9FD3388E60}"/>
    <cellStyle name="Normal 5 2 4 2 6" xfId="2113" xr:uid="{00000000-0005-0000-0000-000068080000}"/>
    <cellStyle name="Normal 5 2 4 2 6 2" xfId="4342" xr:uid="{00000000-0005-0000-0000-00001D110000}"/>
    <cellStyle name="Normal 5 2 4 2 6 2 2" xfId="8564" xr:uid="{00000000-0005-0000-0000-00009B210000}"/>
    <cellStyle name="Normal 5 2 4 2 6 2 2 2" xfId="18155" xr:uid="{569ED34E-96E3-4598-9F29-3D6774202407}"/>
    <cellStyle name="Normal 5 2 4 2 6 2 3" xfId="13934" xr:uid="{25D8EA66-68EF-4C27-AAD1-26B2720F2520}"/>
    <cellStyle name="Normal 5 2 4 2 6 3" xfId="6419" xr:uid="{00000000-0005-0000-0000-00003A190000}"/>
    <cellStyle name="Normal 5 2 4 2 6 3 2" xfId="16010" xr:uid="{5A6B501B-1CC7-4A9F-833A-26D8D6C5E4D5}"/>
    <cellStyle name="Normal 5 2 4 2 6 4" xfId="11705" xr:uid="{698A998F-D13B-48B2-BE08-EDF118D2A89C}"/>
    <cellStyle name="Normal 5 2 4 2 7" xfId="2549" xr:uid="{00000000-0005-0000-0000-00001C0A0000}"/>
    <cellStyle name="Normal 5 2 4 2 7 2" xfId="6832" xr:uid="{00000000-0005-0000-0000-0000D71A0000}"/>
    <cellStyle name="Normal 5 2 4 2 7 2 2" xfId="16423" xr:uid="{090B1286-AD5B-4F3C-A0C6-71E314295E4B}"/>
    <cellStyle name="Normal 5 2 4 2 7 3" xfId="12141" xr:uid="{EE50E7BA-F1BE-4658-911A-C72E5CE1653F}"/>
    <cellStyle name="Normal 5 2 4 2 8" xfId="4767" xr:uid="{00000000-0005-0000-0000-0000C6120000}"/>
    <cellStyle name="Normal 5 2 4 2 8 2" xfId="14358" xr:uid="{B3D189B4-C4A3-43B9-AFE9-13F2E842DAC1}"/>
    <cellStyle name="Normal 5 2 4 2 9" xfId="8891" xr:uid="{00000000-0005-0000-0000-0000E2220000}"/>
    <cellStyle name="Normal 5 2 4 3" xfId="399" xr:uid="{00000000-0005-0000-0000-0000B3010000}"/>
    <cellStyle name="Normal 5 2 4 3 2" xfId="870" xr:uid="{00000000-0005-0000-0000-00008D030000}"/>
    <cellStyle name="Normal 5 2 4 3 2 2" xfId="3105" xr:uid="{00000000-0005-0000-0000-0000480C0000}"/>
    <cellStyle name="Normal 5 2 4 3 2 2 2" xfId="7327" xr:uid="{00000000-0005-0000-0000-0000C61C0000}"/>
    <cellStyle name="Normal 5 2 4 3 2 2 2 2" xfId="16918" xr:uid="{249B8BD4-9E96-4389-A822-06A4F4810844}"/>
    <cellStyle name="Normal 5 2 4 3 2 2 3" xfId="12697" xr:uid="{8392FADE-D62C-43BD-89BE-FA10D36E960A}"/>
    <cellStyle name="Normal 5 2 4 3 2 3" xfId="5182" xr:uid="{00000000-0005-0000-0000-000065140000}"/>
    <cellStyle name="Normal 5 2 4 3 2 3 2" xfId="14773" xr:uid="{ADBAE109-1AB7-4D16-BAAF-6798A3349B81}"/>
    <cellStyle name="Normal 5 2 4 3 2 4" xfId="9420" xr:uid="{00000000-0005-0000-0000-0000F3240000}"/>
    <cellStyle name="Normal 5 2 4 3 2 5" xfId="10463" xr:uid="{AA6097CC-2993-4B2A-B02A-73FA707A0B31}"/>
    <cellStyle name="Normal 5 2 4 3 3" xfId="1288" xr:uid="{00000000-0005-0000-0000-00002F050000}"/>
    <cellStyle name="Normal 5 2 4 3 3 2" xfId="3518" xr:uid="{00000000-0005-0000-0000-0000E50D0000}"/>
    <cellStyle name="Normal 5 2 4 3 3 2 2" xfId="7740" xr:uid="{00000000-0005-0000-0000-0000631E0000}"/>
    <cellStyle name="Normal 5 2 4 3 3 2 2 2" xfId="17331" xr:uid="{D30015F7-2C0A-4F65-AE6F-1A09774F08CB}"/>
    <cellStyle name="Normal 5 2 4 3 3 2 3" xfId="13110" xr:uid="{4C9E9492-F9FB-435C-8643-78BFE67860AB}"/>
    <cellStyle name="Normal 5 2 4 3 3 3" xfId="5595" xr:uid="{00000000-0005-0000-0000-000002160000}"/>
    <cellStyle name="Normal 5 2 4 3 3 3 2" xfId="15186" xr:uid="{9D06F78C-4864-4BCC-8603-3B55D017D059}"/>
    <cellStyle name="Normal 5 2 4 3 3 4" xfId="10881" xr:uid="{A74B5D65-8188-47CB-9E59-B2DD41A28D7B}"/>
    <cellStyle name="Normal 5 2 4 3 4" xfId="1701" xr:uid="{00000000-0005-0000-0000-0000CC060000}"/>
    <cellStyle name="Normal 5 2 4 3 4 2" xfId="3931" xr:uid="{00000000-0005-0000-0000-0000820F0000}"/>
    <cellStyle name="Normal 5 2 4 3 4 2 2" xfId="8153" xr:uid="{00000000-0005-0000-0000-000000200000}"/>
    <cellStyle name="Normal 5 2 4 3 4 2 2 2" xfId="17744" xr:uid="{B5DDB911-0A48-42AF-9457-BC0F32D0D47C}"/>
    <cellStyle name="Normal 5 2 4 3 4 2 3" xfId="13523" xr:uid="{ECF22D1E-E043-4F8D-8927-1FA3CB50FBBE}"/>
    <cellStyle name="Normal 5 2 4 3 4 3" xfId="6008" xr:uid="{00000000-0005-0000-0000-00009F170000}"/>
    <cellStyle name="Normal 5 2 4 3 4 3 2" xfId="15599" xr:uid="{8D66E622-761A-4EFE-98C0-700C86CD3D39}"/>
    <cellStyle name="Normal 5 2 4 3 4 4" xfId="11294" xr:uid="{A81CCB24-8F04-42F8-8972-3D5715CDEA96}"/>
    <cellStyle name="Normal 5 2 4 3 5" xfId="2115" xr:uid="{00000000-0005-0000-0000-00006A080000}"/>
    <cellStyle name="Normal 5 2 4 3 5 2" xfId="4344" xr:uid="{00000000-0005-0000-0000-00001F110000}"/>
    <cellStyle name="Normal 5 2 4 3 5 2 2" xfId="8566" xr:uid="{00000000-0005-0000-0000-00009D210000}"/>
    <cellStyle name="Normal 5 2 4 3 5 2 2 2" xfId="18157" xr:uid="{61B55321-1358-42F2-9A2D-57DCCE1F9447}"/>
    <cellStyle name="Normal 5 2 4 3 5 2 3" xfId="13936" xr:uid="{F137FA5F-136B-41AB-AC81-9B3DC988C2AB}"/>
    <cellStyle name="Normal 5 2 4 3 5 3" xfId="6421" xr:uid="{00000000-0005-0000-0000-00003C190000}"/>
    <cellStyle name="Normal 5 2 4 3 5 3 2" xfId="16012" xr:uid="{ED98BEF8-63F7-4C91-88DA-DA54CCD5DB2F}"/>
    <cellStyle name="Normal 5 2 4 3 5 4" xfId="11707" xr:uid="{1DAD0E03-C1B1-4AC0-80E6-5EDD0DEF660A}"/>
    <cellStyle name="Normal 5 2 4 3 6" xfId="2551" xr:uid="{00000000-0005-0000-0000-00001E0A0000}"/>
    <cellStyle name="Normal 5 2 4 3 6 2" xfId="6834" xr:uid="{00000000-0005-0000-0000-0000D91A0000}"/>
    <cellStyle name="Normal 5 2 4 3 6 2 2" xfId="16425" xr:uid="{5211DF76-6BFE-4018-8E23-14DD867B32FF}"/>
    <cellStyle name="Normal 5 2 4 3 6 3" xfId="12143" xr:uid="{18AB3912-8063-4201-A65D-EF4C5A027C5B}"/>
    <cellStyle name="Normal 5 2 4 3 7" xfId="4769" xr:uid="{00000000-0005-0000-0000-0000C8120000}"/>
    <cellStyle name="Normal 5 2 4 3 7 2" xfId="14360" xr:uid="{18FCF512-0F68-4504-B421-1DB7602110AE}"/>
    <cellStyle name="Normal 5 2 4 3 8" xfId="8995" xr:uid="{00000000-0005-0000-0000-00004A230000}"/>
    <cellStyle name="Normal 5 2 4 3 9" xfId="9997" xr:uid="{0B3D5D58-2F1E-49FA-AE9B-020A788DD47A}"/>
    <cellStyle name="Normal 5 2 4 4" xfId="867" xr:uid="{00000000-0005-0000-0000-00008A030000}"/>
    <cellStyle name="Normal 5 2 4 4 2" xfId="3102" xr:uid="{00000000-0005-0000-0000-0000450C0000}"/>
    <cellStyle name="Normal 5 2 4 4 2 2" xfId="7324" xr:uid="{00000000-0005-0000-0000-0000C31C0000}"/>
    <cellStyle name="Normal 5 2 4 4 2 2 2" xfId="16915" xr:uid="{1A70D070-3A95-4E5A-9A63-233BE1158EE1}"/>
    <cellStyle name="Normal 5 2 4 4 2 3" xfId="12694" xr:uid="{DDC355CD-4F4B-411B-AD1A-FA0828BFC16F}"/>
    <cellStyle name="Normal 5 2 4 4 3" xfId="5179" xr:uid="{00000000-0005-0000-0000-000062140000}"/>
    <cellStyle name="Normal 5 2 4 4 3 2" xfId="14770" xr:uid="{87BF8B8C-3F63-4BE0-A0CC-B5005B505B32}"/>
    <cellStyle name="Normal 5 2 4 4 4" xfId="9213" xr:uid="{00000000-0005-0000-0000-000024240000}"/>
    <cellStyle name="Normal 5 2 4 4 5" xfId="10460" xr:uid="{5D4293AA-4862-4712-A515-E560D58182AE}"/>
    <cellStyle name="Normal 5 2 4 5" xfId="1285" xr:uid="{00000000-0005-0000-0000-00002C050000}"/>
    <cellStyle name="Normal 5 2 4 5 2" xfId="3515" xr:uid="{00000000-0005-0000-0000-0000E20D0000}"/>
    <cellStyle name="Normal 5 2 4 5 2 2" xfId="7737" xr:uid="{00000000-0005-0000-0000-0000601E0000}"/>
    <cellStyle name="Normal 5 2 4 5 2 2 2" xfId="17328" xr:uid="{65A80AFE-4153-4EFA-B7AD-E35AC03587D2}"/>
    <cellStyle name="Normal 5 2 4 5 2 3" xfId="13107" xr:uid="{1C4AB19B-D68C-4476-82EB-58508F1EECFB}"/>
    <cellStyle name="Normal 5 2 4 5 3" xfId="5592" xr:uid="{00000000-0005-0000-0000-0000FF150000}"/>
    <cellStyle name="Normal 5 2 4 5 3 2" xfId="15183" xr:uid="{1FA97D5D-317C-45A9-9005-D281E8C1E6F4}"/>
    <cellStyle name="Normal 5 2 4 5 4" xfId="10878" xr:uid="{99F39481-716F-441F-B33C-63168344CD8A}"/>
    <cellStyle name="Normal 5 2 4 6" xfId="1698" xr:uid="{00000000-0005-0000-0000-0000C9060000}"/>
    <cellStyle name="Normal 5 2 4 6 2" xfId="3928" xr:uid="{00000000-0005-0000-0000-00007F0F0000}"/>
    <cellStyle name="Normal 5 2 4 6 2 2" xfId="8150" xr:uid="{00000000-0005-0000-0000-0000FD1F0000}"/>
    <cellStyle name="Normal 5 2 4 6 2 2 2" xfId="17741" xr:uid="{A116CFA9-626F-4749-828B-51971055D53F}"/>
    <cellStyle name="Normal 5 2 4 6 2 3" xfId="13520" xr:uid="{689679F0-7359-4269-BF57-052E96A771E6}"/>
    <cellStyle name="Normal 5 2 4 6 3" xfId="6005" xr:uid="{00000000-0005-0000-0000-00009C170000}"/>
    <cellStyle name="Normal 5 2 4 6 3 2" xfId="15596" xr:uid="{25439488-6DCA-4139-9F7E-8C211D80D98A}"/>
    <cellStyle name="Normal 5 2 4 6 4" xfId="11291" xr:uid="{33D02579-89D5-46D3-BE5B-AEC9156A8D3E}"/>
    <cellStyle name="Normal 5 2 4 7" xfId="2112" xr:uid="{00000000-0005-0000-0000-000067080000}"/>
    <cellStyle name="Normal 5 2 4 7 2" xfId="4341" xr:uid="{00000000-0005-0000-0000-00001C110000}"/>
    <cellStyle name="Normal 5 2 4 7 2 2" xfId="8563" xr:uid="{00000000-0005-0000-0000-00009A210000}"/>
    <cellStyle name="Normal 5 2 4 7 2 2 2" xfId="18154" xr:uid="{2EF18039-6B74-4C94-90B5-1BF3E2E50207}"/>
    <cellStyle name="Normal 5 2 4 7 2 3" xfId="13933" xr:uid="{81317EED-DCD2-4E35-BF4B-8C9EED7DD3ED}"/>
    <cellStyle name="Normal 5 2 4 7 3" xfId="6418" xr:uid="{00000000-0005-0000-0000-000039190000}"/>
    <cellStyle name="Normal 5 2 4 7 3 2" xfId="16009" xr:uid="{EF1E589C-38AC-4662-AD99-F3B8DB3A0CC9}"/>
    <cellStyle name="Normal 5 2 4 7 4" xfId="11704" xr:uid="{958D5C73-18E9-4FFA-9EBA-8436E4069649}"/>
    <cellStyle name="Normal 5 2 4 8" xfId="2548" xr:uid="{00000000-0005-0000-0000-00001B0A0000}"/>
    <cellStyle name="Normal 5 2 4 8 2" xfId="6831" xr:uid="{00000000-0005-0000-0000-0000D61A0000}"/>
    <cellStyle name="Normal 5 2 4 8 2 2" xfId="16422" xr:uid="{4E153C57-2E5F-4A59-9E19-8751FD07A5E4}"/>
    <cellStyle name="Normal 5 2 4 8 3" xfId="12140" xr:uid="{3A730E59-8F36-4E11-BED4-7D2051EA15A8}"/>
    <cellStyle name="Normal 5 2 4 9" xfId="4766" xr:uid="{00000000-0005-0000-0000-0000C5120000}"/>
    <cellStyle name="Normal 5 2 4 9 2" xfId="14357" xr:uid="{E9F7A2F6-4BF5-4C79-8E5F-48E5E6114B88}"/>
    <cellStyle name="Normal 5 2 5" xfId="400" xr:uid="{00000000-0005-0000-0000-0000B4010000}"/>
    <cellStyle name="Normal 5 2 5 10" xfId="9998" xr:uid="{5C694534-B12E-4DD3-805E-B654DEDF2E60}"/>
    <cellStyle name="Normal 5 2 5 2" xfId="401" xr:uid="{00000000-0005-0000-0000-0000B5010000}"/>
    <cellStyle name="Normal 5 2 5 2 2" xfId="872" xr:uid="{00000000-0005-0000-0000-00008F030000}"/>
    <cellStyle name="Normal 5 2 5 2 2 2" xfId="3107" xr:uid="{00000000-0005-0000-0000-00004A0C0000}"/>
    <cellStyle name="Normal 5 2 5 2 2 2 2" xfId="7329" xr:uid="{00000000-0005-0000-0000-0000C81C0000}"/>
    <cellStyle name="Normal 5 2 5 2 2 2 2 2" xfId="16920" xr:uid="{3A089C46-46BA-4247-BF62-E16EECC70FC7}"/>
    <cellStyle name="Normal 5 2 5 2 2 2 3" xfId="12699" xr:uid="{83B1E840-DF2D-458D-AD49-D88EBF64DC37}"/>
    <cellStyle name="Normal 5 2 5 2 2 3" xfId="5184" xr:uid="{00000000-0005-0000-0000-000067140000}"/>
    <cellStyle name="Normal 5 2 5 2 2 3 2" xfId="14775" xr:uid="{C8EEA2B7-B89B-4DA2-AB42-7E026AA748B8}"/>
    <cellStyle name="Normal 5 2 5 2 2 4" xfId="9440" xr:uid="{00000000-0005-0000-0000-000007250000}"/>
    <cellStyle name="Normal 5 2 5 2 2 5" xfId="10465" xr:uid="{3DCEE1BC-9C86-42E1-A070-0D8DED0B0FE5}"/>
    <cellStyle name="Normal 5 2 5 2 3" xfId="1290" xr:uid="{00000000-0005-0000-0000-000031050000}"/>
    <cellStyle name="Normal 5 2 5 2 3 2" xfId="3520" xr:uid="{00000000-0005-0000-0000-0000E70D0000}"/>
    <cellStyle name="Normal 5 2 5 2 3 2 2" xfId="7742" xr:uid="{00000000-0005-0000-0000-0000651E0000}"/>
    <cellStyle name="Normal 5 2 5 2 3 2 2 2" xfId="17333" xr:uid="{D3E9232E-8673-4C27-B070-3F146F0E72F2}"/>
    <cellStyle name="Normal 5 2 5 2 3 2 3" xfId="13112" xr:uid="{779E3E70-B4CE-44A0-9C96-BC66B9686CB1}"/>
    <cellStyle name="Normal 5 2 5 2 3 3" xfId="5597" xr:uid="{00000000-0005-0000-0000-000004160000}"/>
    <cellStyle name="Normal 5 2 5 2 3 3 2" xfId="15188" xr:uid="{301ECEE7-E26E-48FA-86BF-CD3A739210C8}"/>
    <cellStyle name="Normal 5 2 5 2 3 4" xfId="10883" xr:uid="{35035C75-936A-4E7A-AA95-2B762D74258E}"/>
    <cellStyle name="Normal 5 2 5 2 4" xfId="1703" xr:uid="{00000000-0005-0000-0000-0000CE060000}"/>
    <cellStyle name="Normal 5 2 5 2 4 2" xfId="3933" xr:uid="{00000000-0005-0000-0000-0000840F0000}"/>
    <cellStyle name="Normal 5 2 5 2 4 2 2" xfId="8155" xr:uid="{00000000-0005-0000-0000-000002200000}"/>
    <cellStyle name="Normal 5 2 5 2 4 2 2 2" xfId="17746" xr:uid="{AF20D8C9-3117-4131-8603-EF31963C28DA}"/>
    <cellStyle name="Normal 5 2 5 2 4 2 3" xfId="13525" xr:uid="{1B2605D9-DA4B-4166-8C31-9A857C0B6FE6}"/>
    <cellStyle name="Normal 5 2 5 2 4 3" xfId="6010" xr:uid="{00000000-0005-0000-0000-0000A1170000}"/>
    <cellStyle name="Normal 5 2 5 2 4 3 2" xfId="15601" xr:uid="{3F46B186-9404-40F1-BB04-2BA7B01C4717}"/>
    <cellStyle name="Normal 5 2 5 2 4 4" xfId="11296" xr:uid="{67B7074C-9583-40A4-8C22-927BD01DB96F}"/>
    <cellStyle name="Normal 5 2 5 2 5" xfId="2117" xr:uid="{00000000-0005-0000-0000-00006C080000}"/>
    <cellStyle name="Normal 5 2 5 2 5 2" xfId="4346" xr:uid="{00000000-0005-0000-0000-000021110000}"/>
    <cellStyle name="Normal 5 2 5 2 5 2 2" xfId="8568" xr:uid="{00000000-0005-0000-0000-00009F210000}"/>
    <cellStyle name="Normal 5 2 5 2 5 2 2 2" xfId="18159" xr:uid="{B0344A76-0ED8-4A5F-B35A-4867A1CE87FE}"/>
    <cellStyle name="Normal 5 2 5 2 5 2 3" xfId="13938" xr:uid="{D1DE3432-37F5-4A0D-8F7A-BE29C532172E}"/>
    <cellStyle name="Normal 5 2 5 2 5 3" xfId="6423" xr:uid="{00000000-0005-0000-0000-00003E190000}"/>
    <cellStyle name="Normal 5 2 5 2 5 3 2" xfId="16014" xr:uid="{23A46240-DA28-4DDA-ADC0-B8D2AAD89046}"/>
    <cellStyle name="Normal 5 2 5 2 5 4" xfId="11709" xr:uid="{2ABB2A1C-3B24-4881-AE5C-6D39644B1350}"/>
    <cellStyle name="Normal 5 2 5 2 6" xfId="2553" xr:uid="{00000000-0005-0000-0000-0000200A0000}"/>
    <cellStyle name="Normal 5 2 5 2 6 2" xfId="6836" xr:uid="{00000000-0005-0000-0000-0000DB1A0000}"/>
    <cellStyle name="Normal 5 2 5 2 6 2 2" xfId="16427" xr:uid="{6F384415-72CA-4692-9979-F1844764BAC1}"/>
    <cellStyle name="Normal 5 2 5 2 6 3" xfId="12145" xr:uid="{52BF0CCE-61A0-4DEA-BB8F-690E00C5886A}"/>
    <cellStyle name="Normal 5 2 5 2 7" xfId="4771" xr:uid="{00000000-0005-0000-0000-0000CA120000}"/>
    <cellStyle name="Normal 5 2 5 2 7 2" xfId="14362" xr:uid="{0ED9D9D6-C0CC-4497-A8DA-4B6D9F4800C3}"/>
    <cellStyle name="Normal 5 2 5 2 8" xfId="9015" xr:uid="{00000000-0005-0000-0000-00005E230000}"/>
    <cellStyle name="Normal 5 2 5 2 9" xfId="9999" xr:uid="{8BFCA573-240A-42E5-A1CF-5258748A39A4}"/>
    <cellStyle name="Normal 5 2 5 3" xfId="871" xr:uid="{00000000-0005-0000-0000-00008E030000}"/>
    <cellStyle name="Normal 5 2 5 3 2" xfId="3106" xr:uid="{00000000-0005-0000-0000-0000490C0000}"/>
    <cellStyle name="Normal 5 2 5 3 2 2" xfId="7328" xr:uid="{00000000-0005-0000-0000-0000C71C0000}"/>
    <cellStyle name="Normal 5 2 5 3 2 2 2" xfId="16919" xr:uid="{577CB0C1-09DA-4F8A-9559-E7AA44E2880F}"/>
    <cellStyle name="Normal 5 2 5 3 2 3" xfId="12698" xr:uid="{0905702B-9844-4629-8725-B9514A582D58}"/>
    <cellStyle name="Normal 5 2 5 3 3" xfId="5183" xr:uid="{00000000-0005-0000-0000-000066140000}"/>
    <cellStyle name="Normal 5 2 5 3 3 2" xfId="14774" xr:uid="{EA7DBD49-DC97-460E-8989-1C0DB56C401B}"/>
    <cellStyle name="Normal 5 2 5 3 4" xfId="9233" xr:uid="{00000000-0005-0000-0000-000038240000}"/>
    <cellStyle name="Normal 5 2 5 3 5" xfId="10464" xr:uid="{EACE33C4-6BEF-42AC-ABAB-4EAA3F9FBE82}"/>
    <cellStyle name="Normal 5 2 5 4" xfId="1289" xr:uid="{00000000-0005-0000-0000-000030050000}"/>
    <cellStyle name="Normal 5 2 5 4 2" xfId="3519" xr:uid="{00000000-0005-0000-0000-0000E60D0000}"/>
    <cellStyle name="Normal 5 2 5 4 2 2" xfId="7741" xr:uid="{00000000-0005-0000-0000-0000641E0000}"/>
    <cellStyle name="Normal 5 2 5 4 2 2 2" xfId="17332" xr:uid="{B3C28CE2-EAAE-4F8C-9337-C6757765B26A}"/>
    <cellStyle name="Normal 5 2 5 4 2 3" xfId="13111" xr:uid="{C8E38113-D6FC-4C1D-AB58-0169BC6FA7E3}"/>
    <cellStyle name="Normal 5 2 5 4 3" xfId="5596" xr:uid="{00000000-0005-0000-0000-000003160000}"/>
    <cellStyle name="Normal 5 2 5 4 3 2" xfId="15187" xr:uid="{4E8AE559-1D08-44CE-9EAA-ED9DE0022A41}"/>
    <cellStyle name="Normal 5 2 5 4 4" xfId="10882" xr:uid="{B5B88875-DDCE-4060-8B56-ADE86F32DB76}"/>
    <cellStyle name="Normal 5 2 5 5" xfId="1702" xr:uid="{00000000-0005-0000-0000-0000CD060000}"/>
    <cellStyle name="Normal 5 2 5 5 2" xfId="3932" xr:uid="{00000000-0005-0000-0000-0000830F0000}"/>
    <cellStyle name="Normal 5 2 5 5 2 2" xfId="8154" xr:uid="{00000000-0005-0000-0000-000001200000}"/>
    <cellStyle name="Normal 5 2 5 5 2 2 2" xfId="17745" xr:uid="{89FADA71-8470-4B1F-BC83-6CF531822AA3}"/>
    <cellStyle name="Normal 5 2 5 5 2 3" xfId="13524" xr:uid="{DE60D1B5-5E06-4C77-9333-F54AD39BFC38}"/>
    <cellStyle name="Normal 5 2 5 5 3" xfId="6009" xr:uid="{00000000-0005-0000-0000-0000A0170000}"/>
    <cellStyle name="Normal 5 2 5 5 3 2" xfId="15600" xr:uid="{9B342B26-24C8-4C7D-9583-B48B2516A6D0}"/>
    <cellStyle name="Normal 5 2 5 5 4" xfId="11295" xr:uid="{E4D616F1-8629-49C0-A576-B33B39FCBA25}"/>
    <cellStyle name="Normal 5 2 5 6" xfId="2116" xr:uid="{00000000-0005-0000-0000-00006B080000}"/>
    <cellStyle name="Normal 5 2 5 6 2" xfId="4345" xr:uid="{00000000-0005-0000-0000-000020110000}"/>
    <cellStyle name="Normal 5 2 5 6 2 2" xfId="8567" xr:uid="{00000000-0005-0000-0000-00009E210000}"/>
    <cellStyle name="Normal 5 2 5 6 2 2 2" xfId="18158" xr:uid="{EF2EFC78-4659-4FA2-92A9-B91F5117832A}"/>
    <cellStyle name="Normal 5 2 5 6 2 3" xfId="13937" xr:uid="{D1B9A859-0808-4EFE-B267-E6EB12D5E516}"/>
    <cellStyle name="Normal 5 2 5 6 3" xfId="6422" xr:uid="{00000000-0005-0000-0000-00003D190000}"/>
    <cellStyle name="Normal 5 2 5 6 3 2" xfId="16013" xr:uid="{ED9D4BAB-F83B-42DB-9058-9F0C1B030F8F}"/>
    <cellStyle name="Normal 5 2 5 6 4" xfId="11708" xr:uid="{758854D6-0D0E-4B70-8B81-66E424BC5DC5}"/>
    <cellStyle name="Normal 5 2 5 7" xfId="2552" xr:uid="{00000000-0005-0000-0000-00001F0A0000}"/>
    <cellStyle name="Normal 5 2 5 7 2" xfId="6835" xr:uid="{00000000-0005-0000-0000-0000DA1A0000}"/>
    <cellStyle name="Normal 5 2 5 7 2 2" xfId="16426" xr:uid="{BD84508D-2BBC-4B6B-B9C1-25936486218C}"/>
    <cellStyle name="Normal 5 2 5 7 3" xfId="12144" xr:uid="{56F705D0-7869-4F1B-A4A1-4F5B4D8D9306}"/>
    <cellStyle name="Normal 5 2 5 8" xfId="4770" xr:uid="{00000000-0005-0000-0000-0000C9120000}"/>
    <cellStyle name="Normal 5 2 5 8 2" xfId="14361" xr:uid="{89421588-1443-40D7-80AC-AD5EEE5E312F}"/>
    <cellStyle name="Normal 5 2 5 9" xfId="8808" xr:uid="{00000000-0005-0000-0000-00008F220000}"/>
    <cellStyle name="Normal 5 2 6" xfId="402" xr:uid="{00000000-0005-0000-0000-0000B6010000}"/>
    <cellStyle name="Normal 5 2 6 2" xfId="873" xr:uid="{00000000-0005-0000-0000-000090030000}"/>
    <cellStyle name="Normal 5 2 6 2 2" xfId="3108" xr:uid="{00000000-0005-0000-0000-00004B0C0000}"/>
    <cellStyle name="Normal 5 2 6 2 2 2" xfId="7330" xr:uid="{00000000-0005-0000-0000-0000C91C0000}"/>
    <cellStyle name="Normal 5 2 6 2 2 2 2" xfId="16921" xr:uid="{710623BF-2617-47F2-868F-413B02ED2583}"/>
    <cellStyle name="Normal 5 2 6 2 2 3" xfId="12700" xr:uid="{77A2879C-9C04-4D3E-8AEA-2068F4C58D81}"/>
    <cellStyle name="Normal 5 2 6 2 3" xfId="5185" xr:uid="{00000000-0005-0000-0000-000068140000}"/>
    <cellStyle name="Normal 5 2 6 2 3 2" xfId="14776" xr:uid="{FDF07FD8-C4D5-47AE-A910-FBF5BE57F6BC}"/>
    <cellStyle name="Normal 5 2 6 2 4" xfId="9349" xr:uid="{00000000-0005-0000-0000-0000AC240000}"/>
    <cellStyle name="Normal 5 2 6 2 5" xfId="10466" xr:uid="{7890DD5E-AB8A-4273-83FF-966E10244A3D}"/>
    <cellStyle name="Normal 5 2 6 3" xfId="1291" xr:uid="{00000000-0005-0000-0000-000032050000}"/>
    <cellStyle name="Normal 5 2 6 3 2" xfId="3521" xr:uid="{00000000-0005-0000-0000-0000E80D0000}"/>
    <cellStyle name="Normal 5 2 6 3 2 2" xfId="7743" xr:uid="{00000000-0005-0000-0000-0000661E0000}"/>
    <cellStyle name="Normal 5 2 6 3 2 2 2" xfId="17334" xr:uid="{B3721281-92E9-4803-B4E4-2B829EA4B66F}"/>
    <cellStyle name="Normal 5 2 6 3 2 3" xfId="13113" xr:uid="{46BB4DAB-0D6D-4952-9D3E-876D5231CB84}"/>
    <cellStyle name="Normal 5 2 6 3 3" xfId="5598" xr:uid="{00000000-0005-0000-0000-000005160000}"/>
    <cellStyle name="Normal 5 2 6 3 3 2" xfId="15189" xr:uid="{C458505A-0D08-4D88-9747-4AEE47169CD2}"/>
    <cellStyle name="Normal 5 2 6 3 4" xfId="10884" xr:uid="{B0A3420F-CE25-4724-AD9E-71742624D365}"/>
    <cellStyle name="Normal 5 2 6 4" xfId="1704" xr:uid="{00000000-0005-0000-0000-0000CF060000}"/>
    <cellStyle name="Normal 5 2 6 4 2" xfId="3934" xr:uid="{00000000-0005-0000-0000-0000850F0000}"/>
    <cellStyle name="Normal 5 2 6 4 2 2" xfId="8156" xr:uid="{00000000-0005-0000-0000-000003200000}"/>
    <cellStyle name="Normal 5 2 6 4 2 2 2" xfId="17747" xr:uid="{35327550-3727-4180-A00D-0DA996BC686A}"/>
    <cellStyle name="Normal 5 2 6 4 2 3" xfId="13526" xr:uid="{A5AE87DF-FE25-415C-A2CC-CCCB03671E47}"/>
    <cellStyle name="Normal 5 2 6 4 3" xfId="6011" xr:uid="{00000000-0005-0000-0000-0000A2170000}"/>
    <cellStyle name="Normal 5 2 6 4 3 2" xfId="15602" xr:uid="{B77242C9-8512-4B9D-9B48-23D724F540EA}"/>
    <cellStyle name="Normal 5 2 6 4 4" xfId="11297" xr:uid="{C0BB921E-83B1-4818-BD15-A9405395E1A6}"/>
    <cellStyle name="Normal 5 2 6 5" xfId="2118" xr:uid="{00000000-0005-0000-0000-00006D080000}"/>
    <cellStyle name="Normal 5 2 6 5 2" xfId="4347" xr:uid="{00000000-0005-0000-0000-000022110000}"/>
    <cellStyle name="Normal 5 2 6 5 2 2" xfId="8569" xr:uid="{00000000-0005-0000-0000-0000A0210000}"/>
    <cellStyle name="Normal 5 2 6 5 2 2 2" xfId="18160" xr:uid="{55B36506-1DB7-4562-825E-DB01DD51EAD6}"/>
    <cellStyle name="Normal 5 2 6 5 2 3" xfId="13939" xr:uid="{03BC3D93-7C22-43B7-BD1D-209A16E02EC0}"/>
    <cellStyle name="Normal 5 2 6 5 3" xfId="6424" xr:uid="{00000000-0005-0000-0000-00003F190000}"/>
    <cellStyle name="Normal 5 2 6 5 3 2" xfId="16015" xr:uid="{A94BD295-2AD5-4254-B9D4-2D127C7D9DEA}"/>
    <cellStyle name="Normal 5 2 6 5 4" xfId="11710" xr:uid="{36B351F6-1044-4373-8080-159997C44169}"/>
    <cellStyle name="Normal 5 2 6 6" xfId="2554" xr:uid="{00000000-0005-0000-0000-0000210A0000}"/>
    <cellStyle name="Normal 5 2 6 6 2" xfId="6837" xr:uid="{00000000-0005-0000-0000-0000DC1A0000}"/>
    <cellStyle name="Normal 5 2 6 6 2 2" xfId="16428" xr:uid="{B0628A4D-1595-4574-9C12-1FA46A34A9CC}"/>
    <cellStyle name="Normal 5 2 6 6 3" xfId="12146" xr:uid="{11736598-72C2-437C-83B5-6DFC23F721AB}"/>
    <cellStyle name="Normal 5 2 6 7" xfId="4772" xr:uid="{00000000-0005-0000-0000-0000CB120000}"/>
    <cellStyle name="Normal 5 2 6 7 2" xfId="14363" xr:uid="{3BB5730D-154B-44B5-A20D-233452EF98D3}"/>
    <cellStyle name="Normal 5 2 6 8" xfId="8924" xr:uid="{00000000-0005-0000-0000-000003230000}"/>
    <cellStyle name="Normal 5 2 6 9" xfId="10000" xr:uid="{FFEF8463-61DB-4574-92FB-38F1CC15C878}"/>
    <cellStyle name="Normal 5 2 7" xfId="842" xr:uid="{00000000-0005-0000-0000-000071030000}"/>
    <cellStyle name="Normal 5 2 7 2" xfId="3077" xr:uid="{00000000-0005-0000-0000-00002C0C0000}"/>
    <cellStyle name="Normal 5 2 7 2 2" xfId="7299" xr:uid="{00000000-0005-0000-0000-0000AA1C0000}"/>
    <cellStyle name="Normal 5 2 7 2 2 2" xfId="16890" xr:uid="{5F0BF61D-5DC3-4593-937E-C7A55EDC4366}"/>
    <cellStyle name="Normal 5 2 7 2 3" xfId="12669" xr:uid="{CB486967-FCE4-4287-A224-10280B33831D}"/>
    <cellStyle name="Normal 5 2 7 3" xfId="5154" xr:uid="{00000000-0005-0000-0000-000049140000}"/>
    <cellStyle name="Normal 5 2 7 3 2" xfId="14745" xr:uid="{037AAEDC-5286-4871-B729-B384BDDCDC46}"/>
    <cellStyle name="Normal 5 2 7 4" xfId="9127" xr:uid="{00000000-0005-0000-0000-0000CE230000}"/>
    <cellStyle name="Normal 5 2 7 5" xfId="10435" xr:uid="{5BEA6649-B5AF-47B1-90EF-3757CE38FD73}"/>
    <cellStyle name="Normal 5 2 8" xfId="1260" xr:uid="{00000000-0005-0000-0000-000013050000}"/>
    <cellStyle name="Normal 5 2 8 2" xfId="3490" xr:uid="{00000000-0005-0000-0000-0000C90D0000}"/>
    <cellStyle name="Normal 5 2 8 2 2" xfId="7712" xr:uid="{00000000-0005-0000-0000-0000471E0000}"/>
    <cellStyle name="Normal 5 2 8 2 2 2" xfId="17303" xr:uid="{13D48F3F-0853-481B-BCEA-7BC8C34EA8CA}"/>
    <cellStyle name="Normal 5 2 8 2 3" xfId="13082" xr:uid="{41976C23-78E1-427C-BBFE-70711306CC5B}"/>
    <cellStyle name="Normal 5 2 8 3" xfId="5567" xr:uid="{00000000-0005-0000-0000-0000E6150000}"/>
    <cellStyle name="Normal 5 2 8 3 2" xfId="15158" xr:uid="{232AF98B-2EB0-4148-8FB5-8E7F89250546}"/>
    <cellStyle name="Normal 5 2 8 4" xfId="10853" xr:uid="{A2E2270A-EC6B-4745-B390-31CF808075DD}"/>
    <cellStyle name="Normal 5 2 9" xfId="1673" xr:uid="{00000000-0005-0000-0000-0000B0060000}"/>
    <cellStyle name="Normal 5 2 9 2" xfId="3903" xr:uid="{00000000-0005-0000-0000-0000660F0000}"/>
    <cellStyle name="Normal 5 2 9 2 2" xfId="8125" xr:uid="{00000000-0005-0000-0000-0000E41F0000}"/>
    <cellStyle name="Normal 5 2 9 2 2 2" xfId="17716" xr:uid="{4CCE5E72-227F-4123-A211-F77873204F74}"/>
    <cellStyle name="Normal 5 2 9 2 3" xfId="13495" xr:uid="{0B9356D8-9001-450D-8A26-FEF53EED2DCF}"/>
    <cellStyle name="Normal 5 2 9 3" xfId="5980" xr:uid="{00000000-0005-0000-0000-000083170000}"/>
    <cellStyle name="Normal 5 2 9 3 2" xfId="15571" xr:uid="{61A3085D-11B9-4034-B19F-F536BDDEECD3}"/>
    <cellStyle name="Normal 5 2 9 4" xfId="11266" xr:uid="{E7831979-CB4B-47EB-894B-52CE0B10E26D}"/>
    <cellStyle name="Normal 5 3" xfId="403" xr:uid="{00000000-0005-0000-0000-0000B7010000}"/>
    <cellStyle name="Normal 5 3 10" xfId="2119" xr:uid="{00000000-0005-0000-0000-00006E080000}"/>
    <cellStyle name="Normal 5 3 10 2" xfId="4348" xr:uid="{00000000-0005-0000-0000-000023110000}"/>
    <cellStyle name="Normal 5 3 10 2 2" xfId="8570" xr:uid="{00000000-0005-0000-0000-0000A1210000}"/>
    <cellStyle name="Normal 5 3 10 2 2 2" xfId="18161" xr:uid="{3B5DFFA6-F60E-436D-9CD7-4AD778C49462}"/>
    <cellStyle name="Normal 5 3 10 2 3" xfId="13940" xr:uid="{7263E220-618A-4F5A-B7CC-3D6D71DDF3D5}"/>
    <cellStyle name="Normal 5 3 10 3" xfId="6425" xr:uid="{00000000-0005-0000-0000-000040190000}"/>
    <cellStyle name="Normal 5 3 10 3 2" xfId="16016" xr:uid="{E487B40C-70E6-4881-9229-1EFD1C8A40F6}"/>
    <cellStyle name="Normal 5 3 10 4" xfId="11711" xr:uid="{148C26E3-5419-435B-A407-73346D65C472}"/>
    <cellStyle name="Normal 5 3 11" xfId="2555" xr:uid="{00000000-0005-0000-0000-0000220A0000}"/>
    <cellStyle name="Normal 5 3 11 2" xfId="6838" xr:uid="{00000000-0005-0000-0000-0000DD1A0000}"/>
    <cellStyle name="Normal 5 3 11 2 2" xfId="16429" xr:uid="{82DDBF46-D514-4082-BB38-B59B4122CDD4}"/>
    <cellStyle name="Normal 5 3 11 3" xfId="12147" xr:uid="{943E9FCF-4368-4D69-8566-80507FD47E3F}"/>
    <cellStyle name="Normal 5 3 12" xfId="4773" xr:uid="{00000000-0005-0000-0000-0000CC120000}"/>
    <cellStyle name="Normal 5 3 12 2" xfId="14364" xr:uid="{03ECEAD4-9B58-4470-9396-8BE715D32D8B}"/>
    <cellStyle name="Normal 5 3 13" xfId="8711" xr:uid="{00000000-0005-0000-0000-00002E220000}"/>
    <cellStyle name="Normal 5 3 14" xfId="10001" xr:uid="{B8E7382B-4A9A-452C-A363-5EE128CD5BB6}"/>
    <cellStyle name="Normal 5 3 2" xfId="404" xr:uid="{00000000-0005-0000-0000-0000B8010000}"/>
    <cellStyle name="Normal 5 3 2 2" xfId="875" xr:uid="{00000000-0005-0000-0000-000092030000}"/>
    <cellStyle name="Normal 5 3 2 2 2" xfId="10468" xr:uid="{A84425D3-412F-4CF0-ACFA-A4255182A31B}"/>
    <cellStyle name="Normal 5 3 2 3" xfId="10002" xr:uid="{DF3C274C-9892-4B4B-B29A-61DE5D0FCCEE}"/>
    <cellStyle name="Normal 5 3 3" xfId="405" xr:uid="{00000000-0005-0000-0000-0000B9010000}"/>
    <cellStyle name="Normal 5 3 3 10" xfId="4774" xr:uid="{00000000-0005-0000-0000-0000CD120000}"/>
    <cellStyle name="Normal 5 3 3 10 2" xfId="14365" xr:uid="{E2B4A25B-2CB9-49A6-8F4E-E5093235FE1C}"/>
    <cellStyle name="Normal 5 3 3 11" xfId="8743" xr:uid="{00000000-0005-0000-0000-00004E220000}"/>
    <cellStyle name="Normal 5 3 3 12" xfId="10003" xr:uid="{4FEEFF44-A2B7-4F67-80D5-078B1131E95A}"/>
    <cellStyle name="Normal 5 3 3 2" xfId="406" xr:uid="{00000000-0005-0000-0000-0000BA010000}"/>
    <cellStyle name="Normal 5 3 3 2 10" xfId="8793" xr:uid="{00000000-0005-0000-0000-000080220000}"/>
    <cellStyle name="Normal 5 3 3 2 11" xfId="10004" xr:uid="{F144CCF5-949E-4913-ADE8-F66098DAD1F3}"/>
    <cellStyle name="Normal 5 3 3 2 2" xfId="407" xr:uid="{00000000-0005-0000-0000-0000BB010000}"/>
    <cellStyle name="Normal 5 3 3 2 2 10" xfId="10005" xr:uid="{1B3AD907-8D28-401D-8F2D-D5871BAFE515}"/>
    <cellStyle name="Normal 5 3 3 2 2 2" xfId="408" xr:uid="{00000000-0005-0000-0000-0000BC010000}"/>
    <cellStyle name="Normal 5 3 3 2 2 2 2" xfId="879" xr:uid="{00000000-0005-0000-0000-000096030000}"/>
    <cellStyle name="Normal 5 3 3 2 2 2 2 2" xfId="3113" xr:uid="{00000000-0005-0000-0000-0000500C0000}"/>
    <cellStyle name="Normal 5 3 3 2 2 2 2 2 2" xfId="7335" xr:uid="{00000000-0005-0000-0000-0000CE1C0000}"/>
    <cellStyle name="Normal 5 3 3 2 2 2 2 2 2 2" xfId="16926" xr:uid="{9342D405-0024-49FD-AFA4-D6687B9B1F80}"/>
    <cellStyle name="Normal 5 3 3 2 2 2 2 2 3" xfId="12705" xr:uid="{D97851A3-B1BC-4881-8E6C-74E760AE0A78}"/>
    <cellStyle name="Normal 5 3 3 2 2 2 2 3" xfId="5190" xr:uid="{00000000-0005-0000-0000-00006D140000}"/>
    <cellStyle name="Normal 5 3 3 2 2 2 2 3 2" xfId="14781" xr:uid="{03C227C8-AC3E-4F2E-B2B8-0D86A42F72FE}"/>
    <cellStyle name="Normal 5 3 3 2 2 2 2 4" xfId="9528" xr:uid="{00000000-0005-0000-0000-00005F250000}"/>
    <cellStyle name="Normal 5 3 3 2 2 2 2 5" xfId="10472" xr:uid="{299A39D7-FAE0-49FA-8364-9F2D05F5C8B9}"/>
    <cellStyle name="Normal 5 3 3 2 2 2 3" xfId="1296" xr:uid="{00000000-0005-0000-0000-000037050000}"/>
    <cellStyle name="Normal 5 3 3 2 2 2 3 2" xfId="3526" xr:uid="{00000000-0005-0000-0000-0000ED0D0000}"/>
    <cellStyle name="Normal 5 3 3 2 2 2 3 2 2" xfId="7748" xr:uid="{00000000-0005-0000-0000-00006B1E0000}"/>
    <cellStyle name="Normal 5 3 3 2 2 2 3 2 2 2" xfId="17339" xr:uid="{B7BBB73C-063A-4701-AFFC-A83C17761A2D}"/>
    <cellStyle name="Normal 5 3 3 2 2 2 3 2 3" xfId="13118" xr:uid="{C6F06281-89F6-4E56-8E29-542116639586}"/>
    <cellStyle name="Normal 5 3 3 2 2 2 3 3" xfId="5603" xr:uid="{00000000-0005-0000-0000-00000A160000}"/>
    <cellStyle name="Normal 5 3 3 2 2 2 3 3 2" xfId="15194" xr:uid="{C54184BC-7521-40AE-B3ED-ABA09ABC8ED1}"/>
    <cellStyle name="Normal 5 3 3 2 2 2 3 4" xfId="10889" xr:uid="{F6103559-E66F-4744-A3D2-A9B3B35F3B26}"/>
    <cellStyle name="Normal 5 3 3 2 2 2 4" xfId="1709" xr:uid="{00000000-0005-0000-0000-0000D4060000}"/>
    <cellStyle name="Normal 5 3 3 2 2 2 4 2" xfId="3939" xr:uid="{00000000-0005-0000-0000-00008A0F0000}"/>
    <cellStyle name="Normal 5 3 3 2 2 2 4 2 2" xfId="8161" xr:uid="{00000000-0005-0000-0000-000008200000}"/>
    <cellStyle name="Normal 5 3 3 2 2 2 4 2 2 2" xfId="17752" xr:uid="{71122935-79EA-499E-94D1-C2C77F73138A}"/>
    <cellStyle name="Normal 5 3 3 2 2 2 4 2 3" xfId="13531" xr:uid="{7AEA668F-B3F7-41A1-BC09-F21E3BD52715}"/>
    <cellStyle name="Normal 5 3 3 2 2 2 4 3" xfId="6016" xr:uid="{00000000-0005-0000-0000-0000A7170000}"/>
    <cellStyle name="Normal 5 3 3 2 2 2 4 3 2" xfId="15607" xr:uid="{E8BEB6B5-12B0-4AB2-B4D6-7890B598837D}"/>
    <cellStyle name="Normal 5 3 3 2 2 2 4 4" xfId="11302" xr:uid="{FF3580DC-490D-4828-BC9D-C2D137F69D9A}"/>
    <cellStyle name="Normal 5 3 3 2 2 2 5" xfId="2123" xr:uid="{00000000-0005-0000-0000-000072080000}"/>
    <cellStyle name="Normal 5 3 3 2 2 2 5 2" xfId="4352" xr:uid="{00000000-0005-0000-0000-000027110000}"/>
    <cellStyle name="Normal 5 3 3 2 2 2 5 2 2" xfId="8574" xr:uid="{00000000-0005-0000-0000-0000A5210000}"/>
    <cellStyle name="Normal 5 3 3 2 2 2 5 2 2 2" xfId="18165" xr:uid="{882ADC00-746B-4AF9-9C67-584956BA9527}"/>
    <cellStyle name="Normal 5 3 3 2 2 2 5 2 3" xfId="13944" xr:uid="{8CABC860-2E1D-41AB-9912-F7F90CFBFABD}"/>
    <cellStyle name="Normal 5 3 3 2 2 2 5 3" xfId="6429" xr:uid="{00000000-0005-0000-0000-000044190000}"/>
    <cellStyle name="Normal 5 3 3 2 2 2 5 3 2" xfId="16020" xr:uid="{94850C3D-BAB3-401A-8BEB-2F5AFB21D6D5}"/>
    <cellStyle name="Normal 5 3 3 2 2 2 5 4" xfId="11715" xr:uid="{3C107262-BA83-4199-9966-09FEE7DD625D}"/>
    <cellStyle name="Normal 5 3 3 2 2 2 6" xfId="2559" xr:uid="{00000000-0005-0000-0000-0000260A0000}"/>
    <cellStyle name="Normal 5 3 3 2 2 2 6 2" xfId="6842" xr:uid="{00000000-0005-0000-0000-0000E11A0000}"/>
    <cellStyle name="Normal 5 3 3 2 2 2 6 2 2" xfId="16433" xr:uid="{56778F29-0AF9-4ECC-B252-712FD8EF37D9}"/>
    <cellStyle name="Normal 5 3 3 2 2 2 6 3" xfId="12151" xr:uid="{76AF2B3F-DAA9-4CC7-B3A6-3C6823C8CE14}"/>
    <cellStyle name="Normal 5 3 3 2 2 2 7" xfId="4777" xr:uid="{00000000-0005-0000-0000-0000D0120000}"/>
    <cellStyle name="Normal 5 3 3 2 2 2 7 2" xfId="14368" xr:uid="{51F8FD1F-0DAD-4E96-8EC6-A81841A61079}"/>
    <cellStyle name="Normal 5 3 3 2 2 2 8" xfId="9103" xr:uid="{00000000-0005-0000-0000-0000B6230000}"/>
    <cellStyle name="Normal 5 3 3 2 2 2 9" xfId="10006" xr:uid="{2BF46432-701C-48E0-8E71-4B196E83AE1A}"/>
    <cellStyle name="Normal 5 3 3 2 2 3" xfId="878" xr:uid="{00000000-0005-0000-0000-000095030000}"/>
    <cellStyle name="Normal 5 3 3 2 2 3 2" xfId="3112" xr:uid="{00000000-0005-0000-0000-00004F0C0000}"/>
    <cellStyle name="Normal 5 3 3 2 2 3 2 2" xfId="7334" xr:uid="{00000000-0005-0000-0000-0000CD1C0000}"/>
    <cellStyle name="Normal 5 3 3 2 2 3 2 2 2" xfId="16925" xr:uid="{12AC12C2-C8BA-4F74-8CFD-F13BE2484914}"/>
    <cellStyle name="Normal 5 3 3 2 2 3 2 3" xfId="12704" xr:uid="{BFFF29D2-52C9-48FD-AD2B-08808DD52BE5}"/>
    <cellStyle name="Normal 5 3 3 2 2 3 3" xfId="5189" xr:uid="{00000000-0005-0000-0000-00006C140000}"/>
    <cellStyle name="Normal 5 3 3 2 2 3 3 2" xfId="14780" xr:uid="{E7B4D61D-A50B-4173-B28F-36AE4EF4BA6E}"/>
    <cellStyle name="Normal 5 3 3 2 2 3 4" xfId="9321" xr:uid="{00000000-0005-0000-0000-000090240000}"/>
    <cellStyle name="Normal 5 3 3 2 2 3 5" xfId="10471" xr:uid="{A7D42668-2DA1-4543-90DB-BACBAFF47A2B}"/>
    <cellStyle name="Normal 5 3 3 2 2 4" xfId="1295" xr:uid="{00000000-0005-0000-0000-000036050000}"/>
    <cellStyle name="Normal 5 3 3 2 2 4 2" xfId="3525" xr:uid="{00000000-0005-0000-0000-0000EC0D0000}"/>
    <cellStyle name="Normal 5 3 3 2 2 4 2 2" xfId="7747" xr:uid="{00000000-0005-0000-0000-00006A1E0000}"/>
    <cellStyle name="Normal 5 3 3 2 2 4 2 2 2" xfId="17338" xr:uid="{17396C40-D3A2-433C-968F-9F1591530E33}"/>
    <cellStyle name="Normal 5 3 3 2 2 4 2 3" xfId="13117" xr:uid="{97B98FE8-35B8-4EC5-8B03-8C4309C7C6DF}"/>
    <cellStyle name="Normal 5 3 3 2 2 4 3" xfId="5602" xr:uid="{00000000-0005-0000-0000-000009160000}"/>
    <cellStyle name="Normal 5 3 3 2 2 4 3 2" xfId="15193" xr:uid="{65F2922E-B649-4966-9AFD-75431E4A856A}"/>
    <cellStyle name="Normal 5 3 3 2 2 4 4" xfId="10888" xr:uid="{EB0B270A-DD4E-4031-84D0-B7A38DBBE1EA}"/>
    <cellStyle name="Normal 5 3 3 2 2 5" xfId="1708" xr:uid="{00000000-0005-0000-0000-0000D3060000}"/>
    <cellStyle name="Normal 5 3 3 2 2 5 2" xfId="3938" xr:uid="{00000000-0005-0000-0000-0000890F0000}"/>
    <cellStyle name="Normal 5 3 3 2 2 5 2 2" xfId="8160" xr:uid="{00000000-0005-0000-0000-000007200000}"/>
    <cellStyle name="Normal 5 3 3 2 2 5 2 2 2" xfId="17751" xr:uid="{92093FC2-4DD0-43F2-A0A4-888B79B2DACA}"/>
    <cellStyle name="Normal 5 3 3 2 2 5 2 3" xfId="13530" xr:uid="{C5B2EC9B-BCB9-4C74-94B7-96AF19960877}"/>
    <cellStyle name="Normal 5 3 3 2 2 5 3" xfId="6015" xr:uid="{00000000-0005-0000-0000-0000A6170000}"/>
    <cellStyle name="Normal 5 3 3 2 2 5 3 2" xfId="15606" xr:uid="{2B0855AF-32E7-4247-964C-3B40D7A84E31}"/>
    <cellStyle name="Normal 5 3 3 2 2 5 4" xfId="11301" xr:uid="{D208B75D-0A3A-46C6-8038-B6A2BFC9E533}"/>
    <cellStyle name="Normal 5 3 3 2 2 6" xfId="2122" xr:uid="{00000000-0005-0000-0000-000071080000}"/>
    <cellStyle name="Normal 5 3 3 2 2 6 2" xfId="4351" xr:uid="{00000000-0005-0000-0000-000026110000}"/>
    <cellStyle name="Normal 5 3 3 2 2 6 2 2" xfId="8573" xr:uid="{00000000-0005-0000-0000-0000A4210000}"/>
    <cellStyle name="Normal 5 3 3 2 2 6 2 2 2" xfId="18164" xr:uid="{1EB87817-F8AB-4F51-9A5B-3C4AB361CE84}"/>
    <cellStyle name="Normal 5 3 3 2 2 6 2 3" xfId="13943" xr:uid="{48BA200B-3B6F-45F5-9B6F-51791A3747B5}"/>
    <cellStyle name="Normal 5 3 3 2 2 6 3" xfId="6428" xr:uid="{00000000-0005-0000-0000-000043190000}"/>
    <cellStyle name="Normal 5 3 3 2 2 6 3 2" xfId="16019" xr:uid="{70DC7758-BC40-4B09-9481-2831085B919E}"/>
    <cellStyle name="Normal 5 3 3 2 2 6 4" xfId="11714" xr:uid="{DC9A1482-2372-4255-B7D9-017BDC6B1524}"/>
    <cellStyle name="Normal 5 3 3 2 2 7" xfId="2558" xr:uid="{00000000-0005-0000-0000-0000250A0000}"/>
    <cellStyle name="Normal 5 3 3 2 2 7 2" xfId="6841" xr:uid="{00000000-0005-0000-0000-0000E01A0000}"/>
    <cellStyle name="Normal 5 3 3 2 2 7 2 2" xfId="16432" xr:uid="{946CB7B5-D93B-4D82-8AB4-99B92EF7D56D}"/>
    <cellStyle name="Normal 5 3 3 2 2 7 3" xfId="12150" xr:uid="{E2553F67-9885-4DFC-B44C-2A06BA3BD2B7}"/>
    <cellStyle name="Normal 5 3 3 2 2 8" xfId="4776" xr:uid="{00000000-0005-0000-0000-0000CF120000}"/>
    <cellStyle name="Normal 5 3 3 2 2 8 2" xfId="14367" xr:uid="{0AB43FE4-C426-4881-9B29-0CA3981D1BF0}"/>
    <cellStyle name="Normal 5 3 3 2 2 9" xfId="8896" xr:uid="{00000000-0005-0000-0000-0000E7220000}"/>
    <cellStyle name="Normal 5 3 3 2 3" xfId="409" xr:uid="{00000000-0005-0000-0000-0000BD010000}"/>
    <cellStyle name="Normal 5 3 3 2 3 2" xfId="880" xr:uid="{00000000-0005-0000-0000-000097030000}"/>
    <cellStyle name="Normal 5 3 3 2 3 2 2" xfId="3114" xr:uid="{00000000-0005-0000-0000-0000510C0000}"/>
    <cellStyle name="Normal 5 3 3 2 3 2 2 2" xfId="7336" xr:uid="{00000000-0005-0000-0000-0000CF1C0000}"/>
    <cellStyle name="Normal 5 3 3 2 3 2 2 2 2" xfId="16927" xr:uid="{D272B17B-DF78-4BA5-B896-4BA6878DBEBE}"/>
    <cellStyle name="Normal 5 3 3 2 3 2 2 3" xfId="12706" xr:uid="{AEB35930-C827-4B5D-A979-F3FD5AAD10B7}"/>
    <cellStyle name="Normal 5 3 3 2 3 2 3" xfId="5191" xr:uid="{00000000-0005-0000-0000-00006E140000}"/>
    <cellStyle name="Normal 5 3 3 2 3 2 3 2" xfId="14782" xr:uid="{3491E11A-D6A2-4086-BC49-2A6CD5E87E69}"/>
    <cellStyle name="Normal 5 3 3 2 3 2 4" xfId="9425" xr:uid="{00000000-0005-0000-0000-0000F8240000}"/>
    <cellStyle name="Normal 5 3 3 2 3 2 5" xfId="10473" xr:uid="{100B2B9C-7E99-43E9-B2A2-60851957CD1F}"/>
    <cellStyle name="Normal 5 3 3 2 3 3" xfId="1297" xr:uid="{00000000-0005-0000-0000-000038050000}"/>
    <cellStyle name="Normal 5 3 3 2 3 3 2" xfId="3527" xr:uid="{00000000-0005-0000-0000-0000EE0D0000}"/>
    <cellStyle name="Normal 5 3 3 2 3 3 2 2" xfId="7749" xr:uid="{00000000-0005-0000-0000-00006C1E0000}"/>
    <cellStyle name="Normal 5 3 3 2 3 3 2 2 2" xfId="17340" xr:uid="{3FE584F0-2A42-45FF-9EB0-D848FAC1495F}"/>
    <cellStyle name="Normal 5 3 3 2 3 3 2 3" xfId="13119" xr:uid="{9054C8C4-CB65-43A0-B4E8-B3441373A214}"/>
    <cellStyle name="Normal 5 3 3 2 3 3 3" xfId="5604" xr:uid="{00000000-0005-0000-0000-00000B160000}"/>
    <cellStyle name="Normal 5 3 3 2 3 3 3 2" xfId="15195" xr:uid="{974E916A-475F-42A6-A941-BABCDD11D5E6}"/>
    <cellStyle name="Normal 5 3 3 2 3 3 4" xfId="10890" xr:uid="{E609F688-D0D2-45E8-9CD8-BAD5CF073B21}"/>
    <cellStyle name="Normal 5 3 3 2 3 4" xfId="1710" xr:uid="{00000000-0005-0000-0000-0000D5060000}"/>
    <cellStyle name="Normal 5 3 3 2 3 4 2" xfId="3940" xr:uid="{00000000-0005-0000-0000-00008B0F0000}"/>
    <cellStyle name="Normal 5 3 3 2 3 4 2 2" xfId="8162" xr:uid="{00000000-0005-0000-0000-000009200000}"/>
    <cellStyle name="Normal 5 3 3 2 3 4 2 2 2" xfId="17753" xr:uid="{5ED97FEB-3AB6-4967-B0E7-1257E3782250}"/>
    <cellStyle name="Normal 5 3 3 2 3 4 2 3" xfId="13532" xr:uid="{A464435F-B658-46C1-93D8-387766E1D361}"/>
    <cellStyle name="Normal 5 3 3 2 3 4 3" xfId="6017" xr:uid="{00000000-0005-0000-0000-0000A8170000}"/>
    <cellStyle name="Normal 5 3 3 2 3 4 3 2" xfId="15608" xr:uid="{A46CA4D1-3F92-4AE5-9C4D-CB6917F61BC5}"/>
    <cellStyle name="Normal 5 3 3 2 3 4 4" xfId="11303" xr:uid="{17BD7503-CE4C-4D72-9446-846DA60B1BEB}"/>
    <cellStyle name="Normal 5 3 3 2 3 5" xfId="2124" xr:uid="{00000000-0005-0000-0000-000073080000}"/>
    <cellStyle name="Normal 5 3 3 2 3 5 2" xfId="4353" xr:uid="{00000000-0005-0000-0000-000028110000}"/>
    <cellStyle name="Normal 5 3 3 2 3 5 2 2" xfId="8575" xr:uid="{00000000-0005-0000-0000-0000A6210000}"/>
    <cellStyle name="Normal 5 3 3 2 3 5 2 2 2" xfId="18166" xr:uid="{7A864707-4420-4168-86B1-BF329F66B3B4}"/>
    <cellStyle name="Normal 5 3 3 2 3 5 2 3" xfId="13945" xr:uid="{107510FD-6A4E-4AC4-8123-8D300700FEAA}"/>
    <cellStyle name="Normal 5 3 3 2 3 5 3" xfId="6430" xr:uid="{00000000-0005-0000-0000-000045190000}"/>
    <cellStyle name="Normal 5 3 3 2 3 5 3 2" xfId="16021" xr:uid="{26BD9F5C-5992-41B4-831F-0E86E2CC070D}"/>
    <cellStyle name="Normal 5 3 3 2 3 5 4" xfId="11716" xr:uid="{10F94940-6ED4-4B10-9EE2-89FA0F14687C}"/>
    <cellStyle name="Normal 5 3 3 2 3 6" xfId="2560" xr:uid="{00000000-0005-0000-0000-0000270A0000}"/>
    <cellStyle name="Normal 5 3 3 2 3 6 2" xfId="6843" xr:uid="{00000000-0005-0000-0000-0000E21A0000}"/>
    <cellStyle name="Normal 5 3 3 2 3 6 2 2" xfId="16434" xr:uid="{7573500A-68AF-459C-A499-D91EDE66612F}"/>
    <cellStyle name="Normal 5 3 3 2 3 6 3" xfId="12152" xr:uid="{2DA884F9-6301-4916-8700-6888D183883A}"/>
    <cellStyle name="Normal 5 3 3 2 3 7" xfId="4778" xr:uid="{00000000-0005-0000-0000-0000D1120000}"/>
    <cellStyle name="Normal 5 3 3 2 3 7 2" xfId="14369" xr:uid="{E594D7F7-63EA-4378-A32F-A1A10548BAFA}"/>
    <cellStyle name="Normal 5 3 3 2 3 8" xfId="9000" xr:uid="{00000000-0005-0000-0000-00004F230000}"/>
    <cellStyle name="Normal 5 3 3 2 3 9" xfId="10007" xr:uid="{ECDE139C-F405-4D90-BE8A-41FC2E45338A}"/>
    <cellStyle name="Normal 5 3 3 2 4" xfId="877" xr:uid="{00000000-0005-0000-0000-000094030000}"/>
    <cellStyle name="Normal 5 3 3 2 4 2" xfId="3111" xr:uid="{00000000-0005-0000-0000-00004E0C0000}"/>
    <cellStyle name="Normal 5 3 3 2 4 2 2" xfId="7333" xr:uid="{00000000-0005-0000-0000-0000CC1C0000}"/>
    <cellStyle name="Normal 5 3 3 2 4 2 2 2" xfId="16924" xr:uid="{89E18284-3AD6-4524-830C-26D8531C1E27}"/>
    <cellStyle name="Normal 5 3 3 2 4 2 3" xfId="12703" xr:uid="{7127715F-C0B8-4992-A289-948C1C52D8B1}"/>
    <cellStyle name="Normal 5 3 3 2 4 3" xfId="5188" xr:uid="{00000000-0005-0000-0000-00006B140000}"/>
    <cellStyle name="Normal 5 3 3 2 4 3 2" xfId="14779" xr:uid="{78460B8F-6E56-45A1-A037-2CFC22670C77}"/>
    <cellStyle name="Normal 5 3 3 2 4 4" xfId="9218" xr:uid="{00000000-0005-0000-0000-000029240000}"/>
    <cellStyle name="Normal 5 3 3 2 4 5" xfId="10470" xr:uid="{38F3ACE9-63C1-43FA-BBD9-F78F7A3D2CD3}"/>
    <cellStyle name="Normal 5 3 3 2 5" xfId="1294" xr:uid="{00000000-0005-0000-0000-000035050000}"/>
    <cellStyle name="Normal 5 3 3 2 5 2" xfId="3524" xr:uid="{00000000-0005-0000-0000-0000EB0D0000}"/>
    <cellStyle name="Normal 5 3 3 2 5 2 2" xfId="7746" xr:uid="{00000000-0005-0000-0000-0000691E0000}"/>
    <cellStyle name="Normal 5 3 3 2 5 2 2 2" xfId="17337" xr:uid="{0877EF86-DBCD-4A16-8D91-14771C76B03C}"/>
    <cellStyle name="Normal 5 3 3 2 5 2 3" xfId="13116" xr:uid="{A148D42A-6E4F-4ED6-8781-042B10ABB8DB}"/>
    <cellStyle name="Normal 5 3 3 2 5 3" xfId="5601" xr:uid="{00000000-0005-0000-0000-000008160000}"/>
    <cellStyle name="Normal 5 3 3 2 5 3 2" xfId="15192" xr:uid="{13C2E293-A375-4B4F-8013-AAC810B7A8BF}"/>
    <cellStyle name="Normal 5 3 3 2 5 4" xfId="10887" xr:uid="{144712F5-4F76-4A69-8775-33B5E98FDA64}"/>
    <cellStyle name="Normal 5 3 3 2 6" xfId="1707" xr:uid="{00000000-0005-0000-0000-0000D2060000}"/>
    <cellStyle name="Normal 5 3 3 2 6 2" xfId="3937" xr:uid="{00000000-0005-0000-0000-0000880F0000}"/>
    <cellStyle name="Normal 5 3 3 2 6 2 2" xfId="8159" xr:uid="{00000000-0005-0000-0000-000006200000}"/>
    <cellStyle name="Normal 5 3 3 2 6 2 2 2" xfId="17750" xr:uid="{FBA53A82-9EBD-4133-A48E-ED563D527ACB}"/>
    <cellStyle name="Normal 5 3 3 2 6 2 3" xfId="13529" xr:uid="{EC10F939-378D-4F58-8356-3E9B3664D385}"/>
    <cellStyle name="Normal 5 3 3 2 6 3" xfId="6014" xr:uid="{00000000-0005-0000-0000-0000A5170000}"/>
    <cellStyle name="Normal 5 3 3 2 6 3 2" xfId="15605" xr:uid="{E721638C-69CA-473C-B447-3C98F81F8F66}"/>
    <cellStyle name="Normal 5 3 3 2 6 4" xfId="11300" xr:uid="{073D18FA-B838-4A6B-A950-60BB6F336FD0}"/>
    <cellStyle name="Normal 5 3 3 2 7" xfId="2121" xr:uid="{00000000-0005-0000-0000-000070080000}"/>
    <cellStyle name="Normal 5 3 3 2 7 2" xfId="4350" xr:uid="{00000000-0005-0000-0000-000025110000}"/>
    <cellStyle name="Normal 5 3 3 2 7 2 2" xfId="8572" xr:uid="{00000000-0005-0000-0000-0000A3210000}"/>
    <cellStyle name="Normal 5 3 3 2 7 2 2 2" xfId="18163" xr:uid="{4D5EFC8A-BF29-4575-97D4-A0C00A9A4C1A}"/>
    <cellStyle name="Normal 5 3 3 2 7 2 3" xfId="13942" xr:uid="{2D8BAF3F-66F3-45BD-9698-07ED1874F424}"/>
    <cellStyle name="Normal 5 3 3 2 7 3" xfId="6427" xr:uid="{00000000-0005-0000-0000-000042190000}"/>
    <cellStyle name="Normal 5 3 3 2 7 3 2" xfId="16018" xr:uid="{91D80829-BCC5-4F7B-A53E-F4326ED625C5}"/>
    <cellStyle name="Normal 5 3 3 2 7 4" xfId="11713" xr:uid="{6B9A58FB-BA0A-43F1-BB1E-656A3BA8F7F8}"/>
    <cellStyle name="Normal 5 3 3 2 8" xfId="2557" xr:uid="{00000000-0005-0000-0000-0000240A0000}"/>
    <cellStyle name="Normal 5 3 3 2 8 2" xfId="6840" xr:uid="{00000000-0005-0000-0000-0000DF1A0000}"/>
    <cellStyle name="Normal 5 3 3 2 8 2 2" xfId="16431" xr:uid="{BF5CD373-B024-49E3-AEFE-0C947F5A3F4C}"/>
    <cellStyle name="Normal 5 3 3 2 8 3" xfId="12149" xr:uid="{26B2C1FE-5D53-48E5-AD30-30D1C308E856}"/>
    <cellStyle name="Normal 5 3 3 2 9" xfId="4775" xr:uid="{00000000-0005-0000-0000-0000CE120000}"/>
    <cellStyle name="Normal 5 3 3 2 9 2" xfId="14366" xr:uid="{2B6F49E9-3F22-4F08-931B-C5172691FA31}"/>
    <cellStyle name="Normal 5 3 3 3" xfId="410" xr:uid="{00000000-0005-0000-0000-0000BE010000}"/>
    <cellStyle name="Normal 5 3 3 3 10" xfId="10008" xr:uid="{FC9402E7-ABE1-44BA-AD55-404BDF58E389}"/>
    <cellStyle name="Normal 5 3 3 3 2" xfId="411" xr:uid="{00000000-0005-0000-0000-0000BF010000}"/>
    <cellStyle name="Normal 5 3 3 3 2 2" xfId="882" xr:uid="{00000000-0005-0000-0000-000099030000}"/>
    <cellStyle name="Normal 5 3 3 3 2 2 2" xfId="3116" xr:uid="{00000000-0005-0000-0000-0000530C0000}"/>
    <cellStyle name="Normal 5 3 3 3 2 2 2 2" xfId="7338" xr:uid="{00000000-0005-0000-0000-0000D11C0000}"/>
    <cellStyle name="Normal 5 3 3 3 2 2 2 2 2" xfId="16929" xr:uid="{89A7B712-DA4C-4A45-96D6-0367088F7D05}"/>
    <cellStyle name="Normal 5 3 3 3 2 2 2 3" xfId="12708" xr:uid="{3EAACD5C-7D50-4F5E-9F8A-B86C9E957289}"/>
    <cellStyle name="Normal 5 3 3 3 2 2 3" xfId="5193" xr:uid="{00000000-0005-0000-0000-000070140000}"/>
    <cellStyle name="Normal 5 3 3 3 2 2 3 2" xfId="14784" xr:uid="{174DF2C9-2B61-4857-AEE0-31A6908846EF}"/>
    <cellStyle name="Normal 5 3 3 3 2 2 4" xfId="9478" xr:uid="{00000000-0005-0000-0000-00002D250000}"/>
    <cellStyle name="Normal 5 3 3 3 2 2 5" xfId="10475" xr:uid="{158D0522-D78E-46EC-8635-E8BC5571752B}"/>
    <cellStyle name="Normal 5 3 3 3 2 3" xfId="1299" xr:uid="{00000000-0005-0000-0000-00003A050000}"/>
    <cellStyle name="Normal 5 3 3 3 2 3 2" xfId="3529" xr:uid="{00000000-0005-0000-0000-0000F00D0000}"/>
    <cellStyle name="Normal 5 3 3 3 2 3 2 2" xfId="7751" xr:uid="{00000000-0005-0000-0000-00006E1E0000}"/>
    <cellStyle name="Normal 5 3 3 3 2 3 2 2 2" xfId="17342" xr:uid="{FA360943-5686-488F-8839-0FFD2A6369C9}"/>
    <cellStyle name="Normal 5 3 3 3 2 3 2 3" xfId="13121" xr:uid="{05A9197D-F13C-4560-9BE5-DB4DF2E7329B}"/>
    <cellStyle name="Normal 5 3 3 3 2 3 3" xfId="5606" xr:uid="{00000000-0005-0000-0000-00000D160000}"/>
    <cellStyle name="Normal 5 3 3 3 2 3 3 2" xfId="15197" xr:uid="{577163D2-F159-4A8B-AF32-970477276AB1}"/>
    <cellStyle name="Normal 5 3 3 3 2 3 4" xfId="10892" xr:uid="{3B00FED0-6990-4C3B-AB91-951C1D526A0E}"/>
    <cellStyle name="Normal 5 3 3 3 2 4" xfId="1712" xr:uid="{00000000-0005-0000-0000-0000D7060000}"/>
    <cellStyle name="Normal 5 3 3 3 2 4 2" xfId="3942" xr:uid="{00000000-0005-0000-0000-00008D0F0000}"/>
    <cellStyle name="Normal 5 3 3 3 2 4 2 2" xfId="8164" xr:uid="{00000000-0005-0000-0000-00000B200000}"/>
    <cellStyle name="Normal 5 3 3 3 2 4 2 2 2" xfId="17755" xr:uid="{3AD9D82E-5038-43EE-926C-FB50D6C0F79B}"/>
    <cellStyle name="Normal 5 3 3 3 2 4 2 3" xfId="13534" xr:uid="{297D02C4-53E3-449D-B2F3-BB26226E02C5}"/>
    <cellStyle name="Normal 5 3 3 3 2 4 3" xfId="6019" xr:uid="{00000000-0005-0000-0000-0000AA170000}"/>
    <cellStyle name="Normal 5 3 3 3 2 4 3 2" xfId="15610" xr:uid="{ECD5345B-8183-4625-8749-DB0743C1D697}"/>
    <cellStyle name="Normal 5 3 3 3 2 4 4" xfId="11305" xr:uid="{6AEFF88A-F3CA-4D7F-8251-488ED9E9D990}"/>
    <cellStyle name="Normal 5 3 3 3 2 5" xfId="2126" xr:uid="{00000000-0005-0000-0000-000075080000}"/>
    <cellStyle name="Normal 5 3 3 3 2 5 2" xfId="4355" xr:uid="{00000000-0005-0000-0000-00002A110000}"/>
    <cellStyle name="Normal 5 3 3 3 2 5 2 2" xfId="8577" xr:uid="{00000000-0005-0000-0000-0000A8210000}"/>
    <cellStyle name="Normal 5 3 3 3 2 5 2 2 2" xfId="18168" xr:uid="{79FECF91-3074-4A44-A973-468D109D1DCC}"/>
    <cellStyle name="Normal 5 3 3 3 2 5 2 3" xfId="13947" xr:uid="{46F232F8-20D9-4004-B56D-47C24F8F4E7B}"/>
    <cellStyle name="Normal 5 3 3 3 2 5 3" xfId="6432" xr:uid="{00000000-0005-0000-0000-000047190000}"/>
    <cellStyle name="Normal 5 3 3 3 2 5 3 2" xfId="16023" xr:uid="{4944E2D4-3D36-477C-B507-5C971CBD03FA}"/>
    <cellStyle name="Normal 5 3 3 3 2 5 4" xfId="11718" xr:uid="{6D874810-3B36-4159-8B87-D02A225891F1}"/>
    <cellStyle name="Normal 5 3 3 3 2 6" xfId="2562" xr:uid="{00000000-0005-0000-0000-0000290A0000}"/>
    <cellStyle name="Normal 5 3 3 3 2 6 2" xfId="6845" xr:uid="{00000000-0005-0000-0000-0000E41A0000}"/>
    <cellStyle name="Normal 5 3 3 3 2 6 2 2" xfId="16436" xr:uid="{AC0A491C-4817-49AC-9FB3-71CAFC161CF2}"/>
    <cellStyle name="Normal 5 3 3 3 2 6 3" xfId="12154" xr:uid="{A3FB7E57-CCD5-402F-B3E1-E8FE992907C8}"/>
    <cellStyle name="Normal 5 3 3 3 2 7" xfId="4780" xr:uid="{00000000-0005-0000-0000-0000D3120000}"/>
    <cellStyle name="Normal 5 3 3 3 2 7 2" xfId="14371" xr:uid="{D2991DFF-7C58-4551-B1D0-C3B69B824483}"/>
    <cellStyle name="Normal 5 3 3 3 2 8" xfId="9053" xr:uid="{00000000-0005-0000-0000-000084230000}"/>
    <cellStyle name="Normal 5 3 3 3 2 9" xfId="10009" xr:uid="{A5E46D82-4954-4A2F-A570-E2FD3A497649}"/>
    <cellStyle name="Normal 5 3 3 3 3" xfId="881" xr:uid="{00000000-0005-0000-0000-000098030000}"/>
    <cellStyle name="Normal 5 3 3 3 3 2" xfId="3115" xr:uid="{00000000-0005-0000-0000-0000520C0000}"/>
    <cellStyle name="Normal 5 3 3 3 3 2 2" xfId="7337" xr:uid="{00000000-0005-0000-0000-0000D01C0000}"/>
    <cellStyle name="Normal 5 3 3 3 3 2 2 2" xfId="16928" xr:uid="{12DF5EEF-3081-410D-A208-735B5CDE3DF0}"/>
    <cellStyle name="Normal 5 3 3 3 3 2 3" xfId="12707" xr:uid="{C4B59743-06E0-4BD5-85E2-9924614A16E4}"/>
    <cellStyle name="Normal 5 3 3 3 3 3" xfId="5192" xr:uid="{00000000-0005-0000-0000-00006F140000}"/>
    <cellStyle name="Normal 5 3 3 3 3 3 2" xfId="14783" xr:uid="{447CED90-1BFC-4A55-B786-32280B3DFEFA}"/>
    <cellStyle name="Normal 5 3 3 3 3 4" xfId="9271" xr:uid="{00000000-0005-0000-0000-00005E240000}"/>
    <cellStyle name="Normal 5 3 3 3 3 5" xfId="10474" xr:uid="{8811A641-7C9B-4142-9C35-E92E0FAC9F7D}"/>
    <cellStyle name="Normal 5 3 3 3 4" xfId="1298" xr:uid="{00000000-0005-0000-0000-000039050000}"/>
    <cellStyle name="Normal 5 3 3 3 4 2" xfId="3528" xr:uid="{00000000-0005-0000-0000-0000EF0D0000}"/>
    <cellStyle name="Normal 5 3 3 3 4 2 2" xfId="7750" xr:uid="{00000000-0005-0000-0000-00006D1E0000}"/>
    <cellStyle name="Normal 5 3 3 3 4 2 2 2" xfId="17341" xr:uid="{45708316-944A-4C64-9082-A64A9A31D42D}"/>
    <cellStyle name="Normal 5 3 3 3 4 2 3" xfId="13120" xr:uid="{9805F29C-DCC7-429B-8AB4-D6C03F098648}"/>
    <cellStyle name="Normal 5 3 3 3 4 3" xfId="5605" xr:uid="{00000000-0005-0000-0000-00000C160000}"/>
    <cellStyle name="Normal 5 3 3 3 4 3 2" xfId="15196" xr:uid="{B3B1DF31-6D0B-435B-BC21-77C724A78BE2}"/>
    <cellStyle name="Normal 5 3 3 3 4 4" xfId="10891" xr:uid="{09DB3172-F3CD-4469-9169-E87E57991137}"/>
    <cellStyle name="Normal 5 3 3 3 5" xfId="1711" xr:uid="{00000000-0005-0000-0000-0000D6060000}"/>
    <cellStyle name="Normal 5 3 3 3 5 2" xfId="3941" xr:uid="{00000000-0005-0000-0000-00008C0F0000}"/>
    <cellStyle name="Normal 5 3 3 3 5 2 2" xfId="8163" xr:uid="{00000000-0005-0000-0000-00000A200000}"/>
    <cellStyle name="Normal 5 3 3 3 5 2 2 2" xfId="17754" xr:uid="{B4CDF70B-AB79-4598-85D8-9686ABA5C768}"/>
    <cellStyle name="Normal 5 3 3 3 5 2 3" xfId="13533" xr:uid="{9B78A2AF-9B24-4488-8FA7-C2AE13C42DF3}"/>
    <cellStyle name="Normal 5 3 3 3 5 3" xfId="6018" xr:uid="{00000000-0005-0000-0000-0000A9170000}"/>
    <cellStyle name="Normal 5 3 3 3 5 3 2" xfId="15609" xr:uid="{A4BCB864-E3D7-416C-8317-D475B0C0462A}"/>
    <cellStyle name="Normal 5 3 3 3 5 4" xfId="11304" xr:uid="{0E93001F-C1C6-4BBB-9263-F95E3FFC90A5}"/>
    <cellStyle name="Normal 5 3 3 3 6" xfId="2125" xr:uid="{00000000-0005-0000-0000-000074080000}"/>
    <cellStyle name="Normal 5 3 3 3 6 2" xfId="4354" xr:uid="{00000000-0005-0000-0000-000029110000}"/>
    <cellStyle name="Normal 5 3 3 3 6 2 2" xfId="8576" xr:uid="{00000000-0005-0000-0000-0000A7210000}"/>
    <cellStyle name="Normal 5 3 3 3 6 2 2 2" xfId="18167" xr:uid="{FBACC493-601C-4015-A6E1-7F10DC7CF415}"/>
    <cellStyle name="Normal 5 3 3 3 6 2 3" xfId="13946" xr:uid="{114D96B1-FC18-4287-B47A-564C6BDBC773}"/>
    <cellStyle name="Normal 5 3 3 3 6 3" xfId="6431" xr:uid="{00000000-0005-0000-0000-000046190000}"/>
    <cellStyle name="Normal 5 3 3 3 6 3 2" xfId="16022" xr:uid="{F5EA88C7-10F6-4CD6-9832-2A20DFA9B222}"/>
    <cellStyle name="Normal 5 3 3 3 6 4" xfId="11717" xr:uid="{E4D4F0D6-E590-4DDC-BB85-09FB2FD27CC0}"/>
    <cellStyle name="Normal 5 3 3 3 7" xfId="2561" xr:uid="{00000000-0005-0000-0000-0000280A0000}"/>
    <cellStyle name="Normal 5 3 3 3 7 2" xfId="6844" xr:uid="{00000000-0005-0000-0000-0000E31A0000}"/>
    <cellStyle name="Normal 5 3 3 3 7 2 2" xfId="16435" xr:uid="{FDC5142F-E0AE-48E6-B007-6B83C49D3EC2}"/>
    <cellStyle name="Normal 5 3 3 3 7 3" xfId="12153" xr:uid="{1925FCA2-A765-4E21-A294-DAC9C6B922A0}"/>
    <cellStyle name="Normal 5 3 3 3 8" xfId="4779" xr:uid="{00000000-0005-0000-0000-0000D2120000}"/>
    <cellStyle name="Normal 5 3 3 3 8 2" xfId="14370" xr:uid="{7AB1E53A-8F80-4FFE-BB3A-4BC480DF6E58}"/>
    <cellStyle name="Normal 5 3 3 3 9" xfId="8846" xr:uid="{00000000-0005-0000-0000-0000B5220000}"/>
    <cellStyle name="Normal 5 3 3 4" xfId="412" xr:uid="{00000000-0005-0000-0000-0000C0010000}"/>
    <cellStyle name="Normal 5 3 3 4 2" xfId="883" xr:uid="{00000000-0005-0000-0000-00009A030000}"/>
    <cellStyle name="Normal 5 3 3 4 2 2" xfId="3117" xr:uid="{00000000-0005-0000-0000-0000540C0000}"/>
    <cellStyle name="Normal 5 3 3 4 2 2 2" xfId="7339" xr:uid="{00000000-0005-0000-0000-0000D21C0000}"/>
    <cellStyle name="Normal 5 3 3 4 2 2 2 2" xfId="16930" xr:uid="{E60116D0-C9E5-427F-A203-2E00953AAC5E}"/>
    <cellStyle name="Normal 5 3 3 4 2 2 3" xfId="12709" xr:uid="{D592D070-560D-4C37-813D-59B0F85C97AE}"/>
    <cellStyle name="Normal 5 3 3 4 2 3" xfId="5194" xr:uid="{00000000-0005-0000-0000-000071140000}"/>
    <cellStyle name="Normal 5 3 3 4 2 3 2" xfId="14785" xr:uid="{DA5C3CCB-636C-4CE2-8878-C691798F5AC0}"/>
    <cellStyle name="Normal 5 3 3 4 2 4" xfId="9375" xr:uid="{00000000-0005-0000-0000-0000C6240000}"/>
    <cellStyle name="Normal 5 3 3 4 2 5" xfId="10476" xr:uid="{12003FA0-23C0-4D39-BCB1-30E3F55DFDDF}"/>
    <cellStyle name="Normal 5 3 3 4 3" xfId="1300" xr:uid="{00000000-0005-0000-0000-00003B050000}"/>
    <cellStyle name="Normal 5 3 3 4 3 2" xfId="3530" xr:uid="{00000000-0005-0000-0000-0000F10D0000}"/>
    <cellStyle name="Normal 5 3 3 4 3 2 2" xfId="7752" xr:uid="{00000000-0005-0000-0000-00006F1E0000}"/>
    <cellStyle name="Normal 5 3 3 4 3 2 2 2" xfId="17343" xr:uid="{A5ECAE9E-024D-440C-A286-28BEB6013426}"/>
    <cellStyle name="Normal 5 3 3 4 3 2 3" xfId="13122" xr:uid="{01F4B499-7904-43B7-9B23-1D7CA0C84DB1}"/>
    <cellStyle name="Normal 5 3 3 4 3 3" xfId="5607" xr:uid="{00000000-0005-0000-0000-00000E160000}"/>
    <cellStyle name="Normal 5 3 3 4 3 3 2" xfId="15198" xr:uid="{5AFA5FEB-587B-4753-B83F-15D4F2DE4067}"/>
    <cellStyle name="Normal 5 3 3 4 3 4" xfId="10893" xr:uid="{6282F9E9-8202-44FC-8558-29F6B6CE67E2}"/>
    <cellStyle name="Normal 5 3 3 4 4" xfId="1713" xr:uid="{00000000-0005-0000-0000-0000D8060000}"/>
    <cellStyle name="Normal 5 3 3 4 4 2" xfId="3943" xr:uid="{00000000-0005-0000-0000-00008E0F0000}"/>
    <cellStyle name="Normal 5 3 3 4 4 2 2" xfId="8165" xr:uid="{00000000-0005-0000-0000-00000C200000}"/>
    <cellStyle name="Normal 5 3 3 4 4 2 2 2" xfId="17756" xr:uid="{75966002-05C1-45A4-9D0C-9C8B23D8E1A9}"/>
    <cellStyle name="Normal 5 3 3 4 4 2 3" xfId="13535" xr:uid="{5216B450-F069-4363-9B8E-18C96AEF2BFE}"/>
    <cellStyle name="Normal 5 3 3 4 4 3" xfId="6020" xr:uid="{00000000-0005-0000-0000-0000AB170000}"/>
    <cellStyle name="Normal 5 3 3 4 4 3 2" xfId="15611" xr:uid="{A63C3956-C697-4442-A15A-95F7736C248A}"/>
    <cellStyle name="Normal 5 3 3 4 4 4" xfId="11306" xr:uid="{EEAD3E14-1D9F-4647-9B0A-7C191EC1BB7A}"/>
    <cellStyle name="Normal 5 3 3 4 5" xfId="2127" xr:uid="{00000000-0005-0000-0000-000076080000}"/>
    <cellStyle name="Normal 5 3 3 4 5 2" xfId="4356" xr:uid="{00000000-0005-0000-0000-00002B110000}"/>
    <cellStyle name="Normal 5 3 3 4 5 2 2" xfId="8578" xr:uid="{00000000-0005-0000-0000-0000A9210000}"/>
    <cellStyle name="Normal 5 3 3 4 5 2 2 2" xfId="18169" xr:uid="{464913A4-EB0B-4108-AE1D-D85C940A318C}"/>
    <cellStyle name="Normal 5 3 3 4 5 2 3" xfId="13948" xr:uid="{7F7C013F-945A-4CF3-A9A6-26D876CC900A}"/>
    <cellStyle name="Normal 5 3 3 4 5 3" xfId="6433" xr:uid="{00000000-0005-0000-0000-000048190000}"/>
    <cellStyle name="Normal 5 3 3 4 5 3 2" xfId="16024" xr:uid="{786924B6-9D42-441B-872B-17FC337B4CE5}"/>
    <cellStyle name="Normal 5 3 3 4 5 4" xfId="11719" xr:uid="{D0F02B98-F6AD-4DA1-A24D-DA767F01E285}"/>
    <cellStyle name="Normal 5 3 3 4 6" xfId="2563" xr:uid="{00000000-0005-0000-0000-00002A0A0000}"/>
    <cellStyle name="Normal 5 3 3 4 6 2" xfId="6846" xr:uid="{00000000-0005-0000-0000-0000E51A0000}"/>
    <cellStyle name="Normal 5 3 3 4 6 2 2" xfId="16437" xr:uid="{C5FD5225-4D2D-4FDD-A7F4-17570AE683C2}"/>
    <cellStyle name="Normal 5 3 3 4 6 3" xfId="12155" xr:uid="{1164DE21-79ED-417B-BB78-9D4E46378225}"/>
    <cellStyle name="Normal 5 3 3 4 7" xfId="4781" xr:uid="{00000000-0005-0000-0000-0000D4120000}"/>
    <cellStyle name="Normal 5 3 3 4 7 2" xfId="14372" xr:uid="{BC974130-4AB1-4167-B755-C88D2BED1923}"/>
    <cellStyle name="Normal 5 3 3 4 8" xfId="8950" xr:uid="{00000000-0005-0000-0000-00001D230000}"/>
    <cellStyle name="Normal 5 3 3 4 9" xfId="10010" xr:uid="{E4F1B2B0-D4FF-4DCA-B554-79621D8A58E0}"/>
    <cellStyle name="Normal 5 3 3 5" xfId="876" xr:uid="{00000000-0005-0000-0000-000093030000}"/>
    <cellStyle name="Normal 5 3 3 5 2" xfId="3110" xr:uid="{00000000-0005-0000-0000-00004D0C0000}"/>
    <cellStyle name="Normal 5 3 3 5 2 2" xfId="7332" xr:uid="{00000000-0005-0000-0000-0000CB1C0000}"/>
    <cellStyle name="Normal 5 3 3 5 2 2 2" xfId="16923" xr:uid="{57C66457-FA7C-455F-8C86-67F2D324334E}"/>
    <cellStyle name="Normal 5 3 3 5 2 3" xfId="12702" xr:uid="{A9B3E10E-4851-4803-ABDF-AD702F1C1CF1}"/>
    <cellStyle name="Normal 5 3 3 5 3" xfId="5187" xr:uid="{00000000-0005-0000-0000-00006A140000}"/>
    <cellStyle name="Normal 5 3 3 5 3 2" xfId="14778" xr:uid="{B701C079-F2A4-46F3-8179-7ACAAF45C836}"/>
    <cellStyle name="Normal 5 3 3 5 4" xfId="9167" xr:uid="{00000000-0005-0000-0000-0000F6230000}"/>
    <cellStyle name="Normal 5 3 3 5 5" xfId="10469" xr:uid="{70E41FE7-837B-402E-B6EF-7DD791D90084}"/>
    <cellStyle name="Normal 5 3 3 6" xfId="1293" xr:uid="{00000000-0005-0000-0000-000034050000}"/>
    <cellStyle name="Normal 5 3 3 6 2" xfId="3523" xr:uid="{00000000-0005-0000-0000-0000EA0D0000}"/>
    <cellStyle name="Normal 5 3 3 6 2 2" xfId="7745" xr:uid="{00000000-0005-0000-0000-0000681E0000}"/>
    <cellStyle name="Normal 5 3 3 6 2 2 2" xfId="17336" xr:uid="{83789658-6FFC-4CE6-AE2C-203F8F08954A}"/>
    <cellStyle name="Normal 5 3 3 6 2 3" xfId="13115" xr:uid="{F5AF9711-D5FB-4AD6-B76E-8A53BD645555}"/>
    <cellStyle name="Normal 5 3 3 6 3" xfId="5600" xr:uid="{00000000-0005-0000-0000-000007160000}"/>
    <cellStyle name="Normal 5 3 3 6 3 2" xfId="15191" xr:uid="{B7ABDA1A-FEC5-488A-B5F7-E07357EF10E9}"/>
    <cellStyle name="Normal 5 3 3 6 4" xfId="10886" xr:uid="{3C15BBE5-F01B-44AE-8804-9AEC1B52A22E}"/>
    <cellStyle name="Normal 5 3 3 7" xfId="1706" xr:uid="{00000000-0005-0000-0000-0000D1060000}"/>
    <cellStyle name="Normal 5 3 3 7 2" xfId="3936" xr:uid="{00000000-0005-0000-0000-0000870F0000}"/>
    <cellStyle name="Normal 5 3 3 7 2 2" xfId="8158" xr:uid="{00000000-0005-0000-0000-000005200000}"/>
    <cellStyle name="Normal 5 3 3 7 2 2 2" xfId="17749" xr:uid="{5AB5F8A1-C688-4FE5-B514-34C3AA042820}"/>
    <cellStyle name="Normal 5 3 3 7 2 3" xfId="13528" xr:uid="{DFA1F210-9BBC-4E67-9756-7D2583D265C6}"/>
    <cellStyle name="Normal 5 3 3 7 3" xfId="6013" xr:uid="{00000000-0005-0000-0000-0000A4170000}"/>
    <cellStyle name="Normal 5 3 3 7 3 2" xfId="15604" xr:uid="{FFEADE03-BDEC-47A7-9FFF-6C9A411EA544}"/>
    <cellStyle name="Normal 5 3 3 7 4" xfId="11299" xr:uid="{D13524D5-EC8C-4FB9-BE66-194638925FF1}"/>
    <cellStyle name="Normal 5 3 3 8" xfId="2120" xr:uid="{00000000-0005-0000-0000-00006F080000}"/>
    <cellStyle name="Normal 5 3 3 8 2" xfId="4349" xr:uid="{00000000-0005-0000-0000-000024110000}"/>
    <cellStyle name="Normal 5 3 3 8 2 2" xfId="8571" xr:uid="{00000000-0005-0000-0000-0000A2210000}"/>
    <cellStyle name="Normal 5 3 3 8 2 2 2" xfId="18162" xr:uid="{A345431D-8A76-4F03-B599-03F77856A1EF}"/>
    <cellStyle name="Normal 5 3 3 8 2 3" xfId="13941" xr:uid="{99315570-E13D-49C6-931B-2DD9301804DA}"/>
    <cellStyle name="Normal 5 3 3 8 3" xfId="6426" xr:uid="{00000000-0005-0000-0000-000041190000}"/>
    <cellStyle name="Normal 5 3 3 8 3 2" xfId="16017" xr:uid="{145AD1F2-1CFA-4BE2-B6C8-20FBA01882CA}"/>
    <cellStyle name="Normal 5 3 3 8 4" xfId="11712" xr:uid="{8D017B49-4875-4A86-BD12-42BB31E66D6F}"/>
    <cellStyle name="Normal 5 3 3 9" xfId="2556" xr:uid="{00000000-0005-0000-0000-0000230A0000}"/>
    <cellStyle name="Normal 5 3 3 9 2" xfId="6839" xr:uid="{00000000-0005-0000-0000-0000DE1A0000}"/>
    <cellStyle name="Normal 5 3 3 9 2 2" xfId="16430" xr:uid="{8582D9EF-4492-40A6-B61C-DBE1292BEFA9}"/>
    <cellStyle name="Normal 5 3 3 9 3" xfId="12148" xr:uid="{0FA0C85A-049D-44DD-BC30-6C4BC5F41C75}"/>
    <cellStyle name="Normal 5 3 4" xfId="413" xr:uid="{00000000-0005-0000-0000-0000C1010000}"/>
    <cellStyle name="Normal 5 3 4 10" xfId="8792" xr:uid="{00000000-0005-0000-0000-00007F220000}"/>
    <cellStyle name="Normal 5 3 4 11" xfId="10011" xr:uid="{4FAB4CFB-A980-492D-B972-52C6CE1A2B9C}"/>
    <cellStyle name="Normal 5 3 4 2" xfId="414" xr:uid="{00000000-0005-0000-0000-0000C2010000}"/>
    <cellStyle name="Normal 5 3 4 2 10" xfId="10012" xr:uid="{EDAA4644-E824-4B1A-8B06-FD238717CBD7}"/>
    <cellStyle name="Normal 5 3 4 2 2" xfId="415" xr:uid="{00000000-0005-0000-0000-0000C3010000}"/>
    <cellStyle name="Normal 5 3 4 2 2 2" xfId="886" xr:uid="{00000000-0005-0000-0000-00009D030000}"/>
    <cellStyle name="Normal 5 3 4 2 2 2 2" xfId="3120" xr:uid="{00000000-0005-0000-0000-0000570C0000}"/>
    <cellStyle name="Normal 5 3 4 2 2 2 2 2" xfId="7342" xr:uid="{00000000-0005-0000-0000-0000D51C0000}"/>
    <cellStyle name="Normal 5 3 4 2 2 2 2 2 2" xfId="16933" xr:uid="{70CC601F-867F-4593-AEF2-4BC8D633D373}"/>
    <cellStyle name="Normal 5 3 4 2 2 2 2 3" xfId="12712" xr:uid="{440007BE-95C5-4809-AE67-937CC0FB4B9D}"/>
    <cellStyle name="Normal 5 3 4 2 2 2 3" xfId="5197" xr:uid="{00000000-0005-0000-0000-000074140000}"/>
    <cellStyle name="Normal 5 3 4 2 2 2 3 2" xfId="14788" xr:uid="{18A6B8CF-545F-4D89-9F09-969DEAA88C40}"/>
    <cellStyle name="Normal 5 3 4 2 2 2 4" xfId="9527" xr:uid="{00000000-0005-0000-0000-00005E250000}"/>
    <cellStyle name="Normal 5 3 4 2 2 2 5" xfId="10479" xr:uid="{C2316A87-90DB-4789-A2DF-6802CEB6CC7B}"/>
    <cellStyle name="Normal 5 3 4 2 2 3" xfId="1303" xr:uid="{00000000-0005-0000-0000-00003E050000}"/>
    <cellStyle name="Normal 5 3 4 2 2 3 2" xfId="3533" xr:uid="{00000000-0005-0000-0000-0000F40D0000}"/>
    <cellStyle name="Normal 5 3 4 2 2 3 2 2" xfId="7755" xr:uid="{00000000-0005-0000-0000-0000721E0000}"/>
    <cellStyle name="Normal 5 3 4 2 2 3 2 2 2" xfId="17346" xr:uid="{F40AA85F-2340-4DB0-AF50-CBFCC6812BA7}"/>
    <cellStyle name="Normal 5 3 4 2 2 3 2 3" xfId="13125" xr:uid="{FFF676D0-E91F-40EA-A3A5-449A39C220BA}"/>
    <cellStyle name="Normal 5 3 4 2 2 3 3" xfId="5610" xr:uid="{00000000-0005-0000-0000-000011160000}"/>
    <cellStyle name="Normal 5 3 4 2 2 3 3 2" xfId="15201" xr:uid="{2C1FA359-4F99-461B-B4E1-8A6010F251E0}"/>
    <cellStyle name="Normal 5 3 4 2 2 3 4" xfId="10896" xr:uid="{CDAEBE58-C0E1-47A5-98B4-8D527F26EBF5}"/>
    <cellStyle name="Normal 5 3 4 2 2 4" xfId="1716" xr:uid="{00000000-0005-0000-0000-0000DB060000}"/>
    <cellStyle name="Normal 5 3 4 2 2 4 2" xfId="3946" xr:uid="{00000000-0005-0000-0000-0000910F0000}"/>
    <cellStyle name="Normal 5 3 4 2 2 4 2 2" xfId="8168" xr:uid="{00000000-0005-0000-0000-00000F200000}"/>
    <cellStyle name="Normal 5 3 4 2 2 4 2 2 2" xfId="17759" xr:uid="{72BBC709-DEFF-4B4F-9B42-638074C5B7C1}"/>
    <cellStyle name="Normal 5 3 4 2 2 4 2 3" xfId="13538" xr:uid="{2845242E-31EE-441F-A60F-E1C8AE75B62B}"/>
    <cellStyle name="Normal 5 3 4 2 2 4 3" xfId="6023" xr:uid="{00000000-0005-0000-0000-0000AE170000}"/>
    <cellStyle name="Normal 5 3 4 2 2 4 3 2" xfId="15614" xr:uid="{03297307-30C3-4E0A-B64B-38A9300DE34E}"/>
    <cellStyle name="Normal 5 3 4 2 2 4 4" xfId="11309" xr:uid="{3DD2594E-D675-4E4A-B64D-A2B887C39958}"/>
    <cellStyle name="Normal 5 3 4 2 2 5" xfId="2130" xr:uid="{00000000-0005-0000-0000-000079080000}"/>
    <cellStyle name="Normal 5 3 4 2 2 5 2" xfId="4359" xr:uid="{00000000-0005-0000-0000-00002E110000}"/>
    <cellStyle name="Normal 5 3 4 2 2 5 2 2" xfId="8581" xr:uid="{00000000-0005-0000-0000-0000AC210000}"/>
    <cellStyle name="Normal 5 3 4 2 2 5 2 2 2" xfId="18172" xr:uid="{C0C11A9E-9B81-451B-9D4D-4A075CA97089}"/>
    <cellStyle name="Normal 5 3 4 2 2 5 2 3" xfId="13951" xr:uid="{8B6F74C6-6AE5-4DDC-BDB4-F903638E46C6}"/>
    <cellStyle name="Normal 5 3 4 2 2 5 3" xfId="6436" xr:uid="{00000000-0005-0000-0000-00004B190000}"/>
    <cellStyle name="Normal 5 3 4 2 2 5 3 2" xfId="16027" xr:uid="{15FF76DD-D17B-41C7-9254-C80885621B99}"/>
    <cellStyle name="Normal 5 3 4 2 2 5 4" xfId="11722" xr:uid="{3F5386D8-8BC9-4225-8526-73DCE38C507A}"/>
    <cellStyle name="Normal 5 3 4 2 2 6" xfId="2566" xr:uid="{00000000-0005-0000-0000-00002D0A0000}"/>
    <cellStyle name="Normal 5 3 4 2 2 6 2" xfId="6849" xr:uid="{00000000-0005-0000-0000-0000E81A0000}"/>
    <cellStyle name="Normal 5 3 4 2 2 6 2 2" xfId="16440" xr:uid="{8B6DA1FE-5CB7-44FA-9B85-9FEF2B3F33CC}"/>
    <cellStyle name="Normal 5 3 4 2 2 6 3" xfId="12158" xr:uid="{736D0290-E9DE-48F5-880A-E2080B227EDE}"/>
    <cellStyle name="Normal 5 3 4 2 2 7" xfId="4784" xr:uid="{00000000-0005-0000-0000-0000D7120000}"/>
    <cellStyle name="Normal 5 3 4 2 2 7 2" xfId="14375" xr:uid="{2CDF84FA-CB6A-451E-A593-CDB51D37338C}"/>
    <cellStyle name="Normal 5 3 4 2 2 8" xfId="9102" xr:uid="{00000000-0005-0000-0000-0000B5230000}"/>
    <cellStyle name="Normal 5 3 4 2 2 9" xfId="10013" xr:uid="{9F1CA7A6-6AA3-486F-92F8-F4CAD5C4BC53}"/>
    <cellStyle name="Normal 5 3 4 2 3" xfId="885" xr:uid="{00000000-0005-0000-0000-00009C030000}"/>
    <cellStyle name="Normal 5 3 4 2 3 2" xfId="3119" xr:uid="{00000000-0005-0000-0000-0000560C0000}"/>
    <cellStyle name="Normal 5 3 4 2 3 2 2" xfId="7341" xr:uid="{00000000-0005-0000-0000-0000D41C0000}"/>
    <cellStyle name="Normal 5 3 4 2 3 2 2 2" xfId="16932" xr:uid="{AC0EA9AF-8DFA-4358-AA03-97307787D08A}"/>
    <cellStyle name="Normal 5 3 4 2 3 2 3" xfId="12711" xr:uid="{6E4B3732-ADE8-44F6-BC76-0F961AFAD041}"/>
    <cellStyle name="Normal 5 3 4 2 3 3" xfId="5196" xr:uid="{00000000-0005-0000-0000-000073140000}"/>
    <cellStyle name="Normal 5 3 4 2 3 3 2" xfId="14787" xr:uid="{EA327BF2-1546-4C62-A252-E3A289F9B2EA}"/>
    <cellStyle name="Normal 5 3 4 2 3 4" xfId="9320" xr:uid="{00000000-0005-0000-0000-00008F240000}"/>
    <cellStyle name="Normal 5 3 4 2 3 5" xfId="10478" xr:uid="{4B3F47C0-5D92-42CF-BB2D-35EF3CD684FD}"/>
    <cellStyle name="Normal 5 3 4 2 4" xfId="1302" xr:uid="{00000000-0005-0000-0000-00003D050000}"/>
    <cellStyle name="Normal 5 3 4 2 4 2" xfId="3532" xr:uid="{00000000-0005-0000-0000-0000F30D0000}"/>
    <cellStyle name="Normal 5 3 4 2 4 2 2" xfId="7754" xr:uid="{00000000-0005-0000-0000-0000711E0000}"/>
    <cellStyle name="Normal 5 3 4 2 4 2 2 2" xfId="17345" xr:uid="{98999798-2807-4406-BD9C-AD53B755D75C}"/>
    <cellStyle name="Normal 5 3 4 2 4 2 3" xfId="13124" xr:uid="{2C486FC1-141C-46D7-B40A-0ADBE2096BFD}"/>
    <cellStyle name="Normal 5 3 4 2 4 3" xfId="5609" xr:uid="{00000000-0005-0000-0000-000010160000}"/>
    <cellStyle name="Normal 5 3 4 2 4 3 2" xfId="15200" xr:uid="{BFA7C465-6EE3-430C-9DB8-77F59E17210F}"/>
    <cellStyle name="Normal 5 3 4 2 4 4" xfId="10895" xr:uid="{A806406B-BC18-453E-B5D9-F18D57598E53}"/>
    <cellStyle name="Normal 5 3 4 2 5" xfId="1715" xr:uid="{00000000-0005-0000-0000-0000DA060000}"/>
    <cellStyle name="Normal 5 3 4 2 5 2" xfId="3945" xr:uid="{00000000-0005-0000-0000-0000900F0000}"/>
    <cellStyle name="Normal 5 3 4 2 5 2 2" xfId="8167" xr:uid="{00000000-0005-0000-0000-00000E200000}"/>
    <cellStyle name="Normal 5 3 4 2 5 2 2 2" xfId="17758" xr:uid="{1515CBCE-0FFA-469F-B6E8-ECFDB6039D94}"/>
    <cellStyle name="Normal 5 3 4 2 5 2 3" xfId="13537" xr:uid="{74C9842A-A16F-4CCF-ACD9-727737A5BFE3}"/>
    <cellStyle name="Normal 5 3 4 2 5 3" xfId="6022" xr:uid="{00000000-0005-0000-0000-0000AD170000}"/>
    <cellStyle name="Normal 5 3 4 2 5 3 2" xfId="15613" xr:uid="{14F8B25E-D32C-4073-B8C1-608D7629A1B7}"/>
    <cellStyle name="Normal 5 3 4 2 5 4" xfId="11308" xr:uid="{8158B7D8-5D9E-4ABC-BE8F-16E3672EA601}"/>
    <cellStyle name="Normal 5 3 4 2 6" xfId="2129" xr:uid="{00000000-0005-0000-0000-000078080000}"/>
    <cellStyle name="Normal 5 3 4 2 6 2" xfId="4358" xr:uid="{00000000-0005-0000-0000-00002D110000}"/>
    <cellStyle name="Normal 5 3 4 2 6 2 2" xfId="8580" xr:uid="{00000000-0005-0000-0000-0000AB210000}"/>
    <cellStyle name="Normal 5 3 4 2 6 2 2 2" xfId="18171" xr:uid="{2913FD68-557E-4C97-9424-A8380317AC37}"/>
    <cellStyle name="Normal 5 3 4 2 6 2 3" xfId="13950" xr:uid="{117B8525-C0C8-4ABF-995F-0DF13ACCB188}"/>
    <cellStyle name="Normal 5 3 4 2 6 3" xfId="6435" xr:uid="{00000000-0005-0000-0000-00004A190000}"/>
    <cellStyle name="Normal 5 3 4 2 6 3 2" xfId="16026" xr:uid="{669C24F5-5D83-4DE4-8C04-6AC030D76095}"/>
    <cellStyle name="Normal 5 3 4 2 6 4" xfId="11721" xr:uid="{C2F5AA12-31A2-40B9-B269-016F50401517}"/>
    <cellStyle name="Normal 5 3 4 2 7" xfId="2565" xr:uid="{00000000-0005-0000-0000-00002C0A0000}"/>
    <cellStyle name="Normal 5 3 4 2 7 2" xfId="6848" xr:uid="{00000000-0005-0000-0000-0000E71A0000}"/>
    <cellStyle name="Normal 5 3 4 2 7 2 2" xfId="16439" xr:uid="{B278DAE5-6C94-4CE3-AE4F-71931D665F70}"/>
    <cellStyle name="Normal 5 3 4 2 7 3" xfId="12157" xr:uid="{51390F03-987E-4F38-8A5B-3198F06D11EA}"/>
    <cellStyle name="Normal 5 3 4 2 8" xfId="4783" xr:uid="{00000000-0005-0000-0000-0000D6120000}"/>
    <cellStyle name="Normal 5 3 4 2 8 2" xfId="14374" xr:uid="{E9F5E5DE-8138-48C0-945E-0598F5B83A0D}"/>
    <cellStyle name="Normal 5 3 4 2 9" xfId="8895" xr:uid="{00000000-0005-0000-0000-0000E6220000}"/>
    <cellStyle name="Normal 5 3 4 3" xfId="416" xr:uid="{00000000-0005-0000-0000-0000C4010000}"/>
    <cellStyle name="Normal 5 3 4 3 2" xfId="887" xr:uid="{00000000-0005-0000-0000-00009E030000}"/>
    <cellStyle name="Normal 5 3 4 3 2 2" xfId="3121" xr:uid="{00000000-0005-0000-0000-0000580C0000}"/>
    <cellStyle name="Normal 5 3 4 3 2 2 2" xfId="7343" xr:uid="{00000000-0005-0000-0000-0000D61C0000}"/>
    <cellStyle name="Normal 5 3 4 3 2 2 2 2" xfId="16934" xr:uid="{3EC9C3F1-6F6A-4215-8A1C-F23DAF74C033}"/>
    <cellStyle name="Normal 5 3 4 3 2 2 3" xfId="12713" xr:uid="{DECEB70E-2A5D-4FE2-BEDA-E4D73C593793}"/>
    <cellStyle name="Normal 5 3 4 3 2 3" xfId="5198" xr:uid="{00000000-0005-0000-0000-000075140000}"/>
    <cellStyle name="Normal 5 3 4 3 2 3 2" xfId="14789" xr:uid="{9D8D9108-AA64-47CB-B402-79D56FF73732}"/>
    <cellStyle name="Normal 5 3 4 3 2 4" xfId="9424" xr:uid="{00000000-0005-0000-0000-0000F7240000}"/>
    <cellStyle name="Normal 5 3 4 3 2 5" xfId="10480" xr:uid="{68215506-58C3-4FCC-A8B1-74FC4A8FFF79}"/>
    <cellStyle name="Normal 5 3 4 3 3" xfId="1304" xr:uid="{00000000-0005-0000-0000-00003F050000}"/>
    <cellStyle name="Normal 5 3 4 3 3 2" xfId="3534" xr:uid="{00000000-0005-0000-0000-0000F50D0000}"/>
    <cellStyle name="Normal 5 3 4 3 3 2 2" xfId="7756" xr:uid="{00000000-0005-0000-0000-0000731E0000}"/>
    <cellStyle name="Normal 5 3 4 3 3 2 2 2" xfId="17347" xr:uid="{D54120FC-87C8-4220-A831-05E747EA264A}"/>
    <cellStyle name="Normal 5 3 4 3 3 2 3" xfId="13126" xr:uid="{C4CDB020-1D1A-41CA-A3C5-3CFB17FF7B94}"/>
    <cellStyle name="Normal 5 3 4 3 3 3" xfId="5611" xr:uid="{00000000-0005-0000-0000-000012160000}"/>
    <cellStyle name="Normal 5 3 4 3 3 3 2" xfId="15202" xr:uid="{EB376699-78F7-4C84-B600-E13D00D2E289}"/>
    <cellStyle name="Normal 5 3 4 3 3 4" xfId="10897" xr:uid="{9C94A69A-C581-4787-A2B5-7424F6A22A85}"/>
    <cellStyle name="Normal 5 3 4 3 4" xfId="1717" xr:uid="{00000000-0005-0000-0000-0000DC060000}"/>
    <cellStyle name="Normal 5 3 4 3 4 2" xfId="3947" xr:uid="{00000000-0005-0000-0000-0000920F0000}"/>
    <cellStyle name="Normal 5 3 4 3 4 2 2" xfId="8169" xr:uid="{00000000-0005-0000-0000-000010200000}"/>
    <cellStyle name="Normal 5 3 4 3 4 2 2 2" xfId="17760" xr:uid="{0FE519BA-C2A6-4145-A382-C1D9EB0ADB0F}"/>
    <cellStyle name="Normal 5 3 4 3 4 2 3" xfId="13539" xr:uid="{5BC828DD-5025-45D5-A9B7-8544546110FC}"/>
    <cellStyle name="Normal 5 3 4 3 4 3" xfId="6024" xr:uid="{00000000-0005-0000-0000-0000AF170000}"/>
    <cellStyle name="Normal 5 3 4 3 4 3 2" xfId="15615" xr:uid="{97575C3E-9CEE-4CC7-80DF-A4DA2CF907CB}"/>
    <cellStyle name="Normal 5 3 4 3 4 4" xfId="11310" xr:uid="{57739DF4-5CFB-4F8B-B8C0-5E0AD20C5089}"/>
    <cellStyle name="Normal 5 3 4 3 5" xfId="2131" xr:uid="{00000000-0005-0000-0000-00007A080000}"/>
    <cellStyle name="Normal 5 3 4 3 5 2" xfId="4360" xr:uid="{00000000-0005-0000-0000-00002F110000}"/>
    <cellStyle name="Normal 5 3 4 3 5 2 2" xfId="8582" xr:uid="{00000000-0005-0000-0000-0000AD210000}"/>
    <cellStyle name="Normal 5 3 4 3 5 2 2 2" xfId="18173" xr:uid="{26B766E4-3272-4AD0-83A9-5F36344720A1}"/>
    <cellStyle name="Normal 5 3 4 3 5 2 3" xfId="13952" xr:uid="{D0F3F88D-1654-4A2D-858A-7958B14D0FC0}"/>
    <cellStyle name="Normal 5 3 4 3 5 3" xfId="6437" xr:uid="{00000000-0005-0000-0000-00004C190000}"/>
    <cellStyle name="Normal 5 3 4 3 5 3 2" xfId="16028" xr:uid="{23B80BC6-E682-4799-A04E-018BEABA79EF}"/>
    <cellStyle name="Normal 5 3 4 3 5 4" xfId="11723" xr:uid="{F59B0F8D-FABC-4FF9-BECB-03C48A733922}"/>
    <cellStyle name="Normal 5 3 4 3 6" xfId="2567" xr:uid="{00000000-0005-0000-0000-00002E0A0000}"/>
    <cellStyle name="Normal 5 3 4 3 6 2" xfId="6850" xr:uid="{00000000-0005-0000-0000-0000E91A0000}"/>
    <cellStyle name="Normal 5 3 4 3 6 2 2" xfId="16441" xr:uid="{6BB4E8B3-1154-4AE1-95CB-3AA065197179}"/>
    <cellStyle name="Normal 5 3 4 3 6 3" xfId="12159" xr:uid="{9679869E-2AE0-4F8F-AC3D-02427FB5FDBD}"/>
    <cellStyle name="Normal 5 3 4 3 7" xfId="4785" xr:uid="{00000000-0005-0000-0000-0000D8120000}"/>
    <cellStyle name="Normal 5 3 4 3 7 2" xfId="14376" xr:uid="{C9C236DB-0FE9-42A1-90AF-49423BC0D088}"/>
    <cellStyle name="Normal 5 3 4 3 8" xfId="8999" xr:uid="{00000000-0005-0000-0000-00004E230000}"/>
    <cellStyle name="Normal 5 3 4 3 9" xfId="10014" xr:uid="{9D42CE9F-D8C3-4D56-A663-AE4224709F30}"/>
    <cellStyle name="Normal 5 3 4 4" xfId="884" xr:uid="{00000000-0005-0000-0000-00009B030000}"/>
    <cellStyle name="Normal 5 3 4 4 2" xfId="3118" xr:uid="{00000000-0005-0000-0000-0000550C0000}"/>
    <cellStyle name="Normal 5 3 4 4 2 2" xfId="7340" xr:uid="{00000000-0005-0000-0000-0000D31C0000}"/>
    <cellStyle name="Normal 5 3 4 4 2 2 2" xfId="16931" xr:uid="{A00386B2-97B0-453B-A4FD-7B8E811C2092}"/>
    <cellStyle name="Normal 5 3 4 4 2 3" xfId="12710" xr:uid="{68B76DD1-32B7-4293-B712-72FCD38D01F0}"/>
    <cellStyle name="Normal 5 3 4 4 3" xfId="5195" xr:uid="{00000000-0005-0000-0000-000072140000}"/>
    <cellStyle name="Normal 5 3 4 4 3 2" xfId="14786" xr:uid="{F3A4F655-5203-4904-A293-E98779E96C94}"/>
    <cellStyle name="Normal 5 3 4 4 4" xfId="9217" xr:uid="{00000000-0005-0000-0000-000028240000}"/>
    <cellStyle name="Normal 5 3 4 4 5" xfId="10477" xr:uid="{7784D444-0A28-43DF-BCBB-88F6926D0E3F}"/>
    <cellStyle name="Normal 5 3 4 5" xfId="1301" xr:uid="{00000000-0005-0000-0000-00003C050000}"/>
    <cellStyle name="Normal 5 3 4 5 2" xfId="3531" xr:uid="{00000000-0005-0000-0000-0000F20D0000}"/>
    <cellStyle name="Normal 5 3 4 5 2 2" xfId="7753" xr:uid="{00000000-0005-0000-0000-0000701E0000}"/>
    <cellStyle name="Normal 5 3 4 5 2 2 2" xfId="17344" xr:uid="{F4572C1D-6D16-49AA-8A65-1645D8F1A287}"/>
    <cellStyle name="Normal 5 3 4 5 2 3" xfId="13123" xr:uid="{4AC95401-0EA7-47CD-B2A4-B26B88920FA5}"/>
    <cellStyle name="Normal 5 3 4 5 3" xfId="5608" xr:uid="{00000000-0005-0000-0000-00000F160000}"/>
    <cellStyle name="Normal 5 3 4 5 3 2" xfId="15199" xr:uid="{DA140BFE-FA75-4DE1-A70D-656B8E926777}"/>
    <cellStyle name="Normal 5 3 4 5 4" xfId="10894" xr:uid="{89A5BA09-15CD-4702-9487-DEA3A2906C48}"/>
    <cellStyle name="Normal 5 3 4 6" xfId="1714" xr:uid="{00000000-0005-0000-0000-0000D9060000}"/>
    <cellStyle name="Normal 5 3 4 6 2" xfId="3944" xr:uid="{00000000-0005-0000-0000-00008F0F0000}"/>
    <cellStyle name="Normal 5 3 4 6 2 2" xfId="8166" xr:uid="{00000000-0005-0000-0000-00000D200000}"/>
    <cellStyle name="Normal 5 3 4 6 2 2 2" xfId="17757" xr:uid="{5CC871A5-BA6D-4ACA-B2BA-AA329B0EA4A4}"/>
    <cellStyle name="Normal 5 3 4 6 2 3" xfId="13536" xr:uid="{FFB60144-51BE-4C72-A18C-8AE947A7478F}"/>
    <cellStyle name="Normal 5 3 4 6 3" xfId="6021" xr:uid="{00000000-0005-0000-0000-0000AC170000}"/>
    <cellStyle name="Normal 5 3 4 6 3 2" xfId="15612" xr:uid="{5E158BB9-25C7-4A92-BD01-0567447F3405}"/>
    <cellStyle name="Normal 5 3 4 6 4" xfId="11307" xr:uid="{5FFEC793-7735-489A-8951-18886B597ECE}"/>
    <cellStyle name="Normal 5 3 4 7" xfId="2128" xr:uid="{00000000-0005-0000-0000-000077080000}"/>
    <cellStyle name="Normal 5 3 4 7 2" xfId="4357" xr:uid="{00000000-0005-0000-0000-00002C110000}"/>
    <cellStyle name="Normal 5 3 4 7 2 2" xfId="8579" xr:uid="{00000000-0005-0000-0000-0000AA210000}"/>
    <cellStyle name="Normal 5 3 4 7 2 2 2" xfId="18170" xr:uid="{4D6CA0C4-682B-4E76-9EA0-B6301D63AFB1}"/>
    <cellStyle name="Normal 5 3 4 7 2 3" xfId="13949" xr:uid="{27D4FFC7-6571-43DF-BB05-713CC205B2A5}"/>
    <cellStyle name="Normal 5 3 4 7 3" xfId="6434" xr:uid="{00000000-0005-0000-0000-000049190000}"/>
    <cellStyle name="Normal 5 3 4 7 3 2" xfId="16025" xr:uid="{F32EFC03-4729-4E2B-A0DA-A61A210A62C7}"/>
    <cellStyle name="Normal 5 3 4 7 4" xfId="11720" xr:uid="{8F4AC7C9-CF43-42E2-9056-C0FFDB039F81}"/>
    <cellStyle name="Normal 5 3 4 8" xfId="2564" xr:uid="{00000000-0005-0000-0000-00002B0A0000}"/>
    <cellStyle name="Normal 5 3 4 8 2" xfId="6847" xr:uid="{00000000-0005-0000-0000-0000E61A0000}"/>
    <cellStyle name="Normal 5 3 4 8 2 2" xfId="16438" xr:uid="{40A740AA-4FC9-446B-88D5-F87E941B2AD1}"/>
    <cellStyle name="Normal 5 3 4 8 3" xfId="12156" xr:uid="{EE858F09-FCE3-400C-9650-12E3FF93AB87}"/>
    <cellStyle name="Normal 5 3 4 9" xfId="4782" xr:uid="{00000000-0005-0000-0000-0000D5120000}"/>
    <cellStyle name="Normal 5 3 4 9 2" xfId="14373" xr:uid="{C93A800E-6C9F-4C93-BAE0-289C451770ED}"/>
    <cellStyle name="Normal 5 3 5" xfId="417" xr:uid="{00000000-0005-0000-0000-0000C5010000}"/>
    <cellStyle name="Normal 5 3 5 10" xfId="10015" xr:uid="{49B5C1BE-2A8B-4F50-B530-044A8F19E6D1}"/>
    <cellStyle name="Normal 5 3 5 2" xfId="418" xr:uid="{00000000-0005-0000-0000-0000C6010000}"/>
    <cellStyle name="Normal 5 3 5 2 2" xfId="889" xr:uid="{00000000-0005-0000-0000-0000A0030000}"/>
    <cellStyle name="Normal 5 3 5 2 2 2" xfId="3123" xr:uid="{00000000-0005-0000-0000-00005A0C0000}"/>
    <cellStyle name="Normal 5 3 5 2 2 2 2" xfId="7345" xr:uid="{00000000-0005-0000-0000-0000D81C0000}"/>
    <cellStyle name="Normal 5 3 5 2 2 2 2 2" xfId="16936" xr:uid="{C3DD4357-63AB-424C-B6FD-048D12F6DCE5}"/>
    <cellStyle name="Normal 5 3 5 2 2 2 3" xfId="12715" xr:uid="{7741C601-D228-4BE9-B5A9-17D891362D19}"/>
    <cellStyle name="Normal 5 3 5 2 2 3" xfId="5200" xr:uid="{00000000-0005-0000-0000-000077140000}"/>
    <cellStyle name="Normal 5 3 5 2 2 3 2" xfId="14791" xr:uid="{409F83B7-B920-4951-B7C3-07745253A3AD}"/>
    <cellStyle name="Normal 5 3 5 2 2 4" xfId="9446" xr:uid="{00000000-0005-0000-0000-00000D250000}"/>
    <cellStyle name="Normal 5 3 5 2 2 5" xfId="10482" xr:uid="{28D2101E-3032-4717-A9F3-7F1E93855B2E}"/>
    <cellStyle name="Normal 5 3 5 2 3" xfId="1306" xr:uid="{00000000-0005-0000-0000-000041050000}"/>
    <cellStyle name="Normal 5 3 5 2 3 2" xfId="3536" xr:uid="{00000000-0005-0000-0000-0000F70D0000}"/>
    <cellStyle name="Normal 5 3 5 2 3 2 2" xfId="7758" xr:uid="{00000000-0005-0000-0000-0000751E0000}"/>
    <cellStyle name="Normal 5 3 5 2 3 2 2 2" xfId="17349" xr:uid="{3E97E5E3-D475-4EF6-B578-AAC9D339893B}"/>
    <cellStyle name="Normal 5 3 5 2 3 2 3" xfId="13128" xr:uid="{56FBF9AF-C62B-4AB3-9839-CAA4A70FC5EC}"/>
    <cellStyle name="Normal 5 3 5 2 3 3" xfId="5613" xr:uid="{00000000-0005-0000-0000-000014160000}"/>
    <cellStyle name="Normal 5 3 5 2 3 3 2" xfId="15204" xr:uid="{F257F46E-A0D7-4088-8EA2-6FE512E91B2B}"/>
    <cellStyle name="Normal 5 3 5 2 3 4" xfId="10899" xr:uid="{D24F38B9-278C-49BC-B638-6F1356081F45}"/>
    <cellStyle name="Normal 5 3 5 2 4" xfId="1719" xr:uid="{00000000-0005-0000-0000-0000DE060000}"/>
    <cellStyle name="Normal 5 3 5 2 4 2" xfId="3949" xr:uid="{00000000-0005-0000-0000-0000940F0000}"/>
    <cellStyle name="Normal 5 3 5 2 4 2 2" xfId="8171" xr:uid="{00000000-0005-0000-0000-000012200000}"/>
    <cellStyle name="Normal 5 3 5 2 4 2 2 2" xfId="17762" xr:uid="{A8C76C78-5179-4BCD-9E6F-82E097A3A9FC}"/>
    <cellStyle name="Normal 5 3 5 2 4 2 3" xfId="13541" xr:uid="{A63F31C3-5F51-4C22-95C4-866D387C59D4}"/>
    <cellStyle name="Normal 5 3 5 2 4 3" xfId="6026" xr:uid="{00000000-0005-0000-0000-0000B1170000}"/>
    <cellStyle name="Normal 5 3 5 2 4 3 2" xfId="15617" xr:uid="{4F4828AF-E1E9-4857-9BF5-42136A63F2AE}"/>
    <cellStyle name="Normal 5 3 5 2 4 4" xfId="11312" xr:uid="{23DFC8F5-BF78-4B3F-8E4E-742A2E9AB8A6}"/>
    <cellStyle name="Normal 5 3 5 2 5" xfId="2133" xr:uid="{00000000-0005-0000-0000-00007C080000}"/>
    <cellStyle name="Normal 5 3 5 2 5 2" xfId="4362" xr:uid="{00000000-0005-0000-0000-000031110000}"/>
    <cellStyle name="Normal 5 3 5 2 5 2 2" xfId="8584" xr:uid="{00000000-0005-0000-0000-0000AF210000}"/>
    <cellStyle name="Normal 5 3 5 2 5 2 2 2" xfId="18175" xr:uid="{1CF52B4F-D0CA-47A8-8A7D-2DD2D861D0B4}"/>
    <cellStyle name="Normal 5 3 5 2 5 2 3" xfId="13954" xr:uid="{EC77754A-71B3-453E-9711-F6021AD2A9C5}"/>
    <cellStyle name="Normal 5 3 5 2 5 3" xfId="6439" xr:uid="{00000000-0005-0000-0000-00004E190000}"/>
    <cellStyle name="Normal 5 3 5 2 5 3 2" xfId="16030" xr:uid="{CEFD285F-2C50-47FC-966C-01A251FE0A44}"/>
    <cellStyle name="Normal 5 3 5 2 5 4" xfId="11725" xr:uid="{1837F251-CDB5-455C-A67D-BF35B7A6DC48}"/>
    <cellStyle name="Normal 5 3 5 2 6" xfId="2569" xr:uid="{00000000-0005-0000-0000-0000300A0000}"/>
    <cellStyle name="Normal 5 3 5 2 6 2" xfId="6852" xr:uid="{00000000-0005-0000-0000-0000EB1A0000}"/>
    <cellStyle name="Normal 5 3 5 2 6 2 2" xfId="16443" xr:uid="{EE609E8C-D40E-4ED7-A355-128DE6522F0D}"/>
    <cellStyle name="Normal 5 3 5 2 6 3" xfId="12161" xr:uid="{BD37804C-41D2-4DD8-8BF6-AFF45CC2AB7D}"/>
    <cellStyle name="Normal 5 3 5 2 7" xfId="4787" xr:uid="{00000000-0005-0000-0000-0000DA120000}"/>
    <cellStyle name="Normal 5 3 5 2 7 2" xfId="14378" xr:uid="{3EB07223-A477-4672-83A1-CCACE0A5E816}"/>
    <cellStyle name="Normal 5 3 5 2 8" xfId="9021" xr:uid="{00000000-0005-0000-0000-000064230000}"/>
    <cellStyle name="Normal 5 3 5 2 9" xfId="10016" xr:uid="{EA588696-A6F0-4B03-B395-41F8F61CC390}"/>
    <cellStyle name="Normal 5 3 5 3" xfId="888" xr:uid="{00000000-0005-0000-0000-00009F030000}"/>
    <cellStyle name="Normal 5 3 5 3 2" xfId="3122" xr:uid="{00000000-0005-0000-0000-0000590C0000}"/>
    <cellStyle name="Normal 5 3 5 3 2 2" xfId="7344" xr:uid="{00000000-0005-0000-0000-0000D71C0000}"/>
    <cellStyle name="Normal 5 3 5 3 2 2 2" xfId="16935" xr:uid="{E497CC55-F311-4510-800B-0642E3ECC563}"/>
    <cellStyle name="Normal 5 3 5 3 2 3" xfId="12714" xr:uid="{CB20CD39-6223-418F-A53E-9F7DF6995719}"/>
    <cellStyle name="Normal 5 3 5 3 3" xfId="5199" xr:uid="{00000000-0005-0000-0000-000076140000}"/>
    <cellStyle name="Normal 5 3 5 3 3 2" xfId="14790" xr:uid="{C495BC72-55F8-4E09-AE93-74FBF81B9D3F}"/>
    <cellStyle name="Normal 5 3 5 3 4" xfId="9239" xr:uid="{00000000-0005-0000-0000-00003E240000}"/>
    <cellStyle name="Normal 5 3 5 3 5" xfId="10481" xr:uid="{26EB189A-5CD3-4485-8E1A-33D7DC55EBB0}"/>
    <cellStyle name="Normal 5 3 5 4" xfId="1305" xr:uid="{00000000-0005-0000-0000-000040050000}"/>
    <cellStyle name="Normal 5 3 5 4 2" xfId="3535" xr:uid="{00000000-0005-0000-0000-0000F60D0000}"/>
    <cellStyle name="Normal 5 3 5 4 2 2" xfId="7757" xr:uid="{00000000-0005-0000-0000-0000741E0000}"/>
    <cellStyle name="Normal 5 3 5 4 2 2 2" xfId="17348" xr:uid="{A15C15C1-636C-4C13-A885-3CF94116D3D7}"/>
    <cellStyle name="Normal 5 3 5 4 2 3" xfId="13127" xr:uid="{D1E7F391-912B-442F-82E1-2032D1F3B56E}"/>
    <cellStyle name="Normal 5 3 5 4 3" xfId="5612" xr:uid="{00000000-0005-0000-0000-000013160000}"/>
    <cellStyle name="Normal 5 3 5 4 3 2" xfId="15203" xr:uid="{716CC72A-8933-4E4C-8F5F-4B22DA313C06}"/>
    <cellStyle name="Normal 5 3 5 4 4" xfId="10898" xr:uid="{9C355D7B-A325-4046-9088-6C7253B53CE7}"/>
    <cellStyle name="Normal 5 3 5 5" xfId="1718" xr:uid="{00000000-0005-0000-0000-0000DD060000}"/>
    <cellStyle name="Normal 5 3 5 5 2" xfId="3948" xr:uid="{00000000-0005-0000-0000-0000930F0000}"/>
    <cellStyle name="Normal 5 3 5 5 2 2" xfId="8170" xr:uid="{00000000-0005-0000-0000-000011200000}"/>
    <cellStyle name="Normal 5 3 5 5 2 2 2" xfId="17761" xr:uid="{C0F80A13-B3A4-4274-A2A3-BF5BAB688EC9}"/>
    <cellStyle name="Normal 5 3 5 5 2 3" xfId="13540" xr:uid="{03E7E57A-4CC4-4BFC-8309-B1E8983F1910}"/>
    <cellStyle name="Normal 5 3 5 5 3" xfId="6025" xr:uid="{00000000-0005-0000-0000-0000B0170000}"/>
    <cellStyle name="Normal 5 3 5 5 3 2" xfId="15616" xr:uid="{D2941497-429B-47D9-A9A3-EF184A93BAC7}"/>
    <cellStyle name="Normal 5 3 5 5 4" xfId="11311" xr:uid="{E74466B3-7C60-4755-A8A4-057124109796}"/>
    <cellStyle name="Normal 5 3 5 6" xfId="2132" xr:uid="{00000000-0005-0000-0000-00007B080000}"/>
    <cellStyle name="Normal 5 3 5 6 2" xfId="4361" xr:uid="{00000000-0005-0000-0000-000030110000}"/>
    <cellStyle name="Normal 5 3 5 6 2 2" xfId="8583" xr:uid="{00000000-0005-0000-0000-0000AE210000}"/>
    <cellStyle name="Normal 5 3 5 6 2 2 2" xfId="18174" xr:uid="{E8BB795E-BE9E-421D-9319-51BD1B8799A1}"/>
    <cellStyle name="Normal 5 3 5 6 2 3" xfId="13953" xr:uid="{5B9FCE1E-8F99-4DBA-89D2-671060E07A75}"/>
    <cellStyle name="Normal 5 3 5 6 3" xfId="6438" xr:uid="{00000000-0005-0000-0000-00004D190000}"/>
    <cellStyle name="Normal 5 3 5 6 3 2" xfId="16029" xr:uid="{A1D2142D-7765-489C-9586-948D8CB82ECD}"/>
    <cellStyle name="Normal 5 3 5 6 4" xfId="11724" xr:uid="{D222F90C-DF90-4DC7-854E-B1AEF490BAE1}"/>
    <cellStyle name="Normal 5 3 5 7" xfId="2568" xr:uid="{00000000-0005-0000-0000-00002F0A0000}"/>
    <cellStyle name="Normal 5 3 5 7 2" xfId="6851" xr:uid="{00000000-0005-0000-0000-0000EA1A0000}"/>
    <cellStyle name="Normal 5 3 5 7 2 2" xfId="16442" xr:uid="{AB523F05-4BB4-4575-B7B7-E1EFCB6282F6}"/>
    <cellStyle name="Normal 5 3 5 7 3" xfId="12160" xr:uid="{EFD4CA40-DCBE-465C-8AC2-BAE9E62AEBCF}"/>
    <cellStyle name="Normal 5 3 5 8" xfId="4786" xr:uid="{00000000-0005-0000-0000-0000D9120000}"/>
    <cellStyle name="Normal 5 3 5 8 2" xfId="14377" xr:uid="{BC63FEC4-5C45-42CE-8EEC-EA176FBA342D}"/>
    <cellStyle name="Normal 5 3 5 9" xfId="8814" xr:uid="{00000000-0005-0000-0000-000095220000}"/>
    <cellStyle name="Normal 5 3 6" xfId="419" xr:uid="{00000000-0005-0000-0000-0000C7010000}"/>
    <cellStyle name="Normal 5 3 6 2" xfId="890" xr:uid="{00000000-0005-0000-0000-0000A1030000}"/>
    <cellStyle name="Normal 5 3 6 2 2" xfId="3124" xr:uid="{00000000-0005-0000-0000-00005B0C0000}"/>
    <cellStyle name="Normal 5 3 6 2 2 2" xfId="7346" xr:uid="{00000000-0005-0000-0000-0000D91C0000}"/>
    <cellStyle name="Normal 5 3 6 2 2 2 2" xfId="16937" xr:uid="{1CFFCFCF-6DEF-4A0F-AC9E-63588E10F22F}"/>
    <cellStyle name="Normal 5 3 6 2 2 3" xfId="12716" xr:uid="{B09833F8-B2D8-4133-BE72-F2FA7DA12CD2}"/>
    <cellStyle name="Normal 5 3 6 2 3" xfId="5201" xr:uid="{00000000-0005-0000-0000-000078140000}"/>
    <cellStyle name="Normal 5 3 6 2 3 2" xfId="14792" xr:uid="{D88A0F25-8CBC-4DB7-ABC5-27B3AD10C62B}"/>
    <cellStyle name="Normal 5 3 6 2 4" xfId="9355" xr:uid="{00000000-0005-0000-0000-0000B2240000}"/>
    <cellStyle name="Normal 5 3 6 2 5" xfId="10483" xr:uid="{BFDEE905-251F-404F-B276-7C6C85465011}"/>
    <cellStyle name="Normal 5 3 6 3" xfId="1307" xr:uid="{00000000-0005-0000-0000-000042050000}"/>
    <cellStyle name="Normal 5 3 6 3 2" xfId="3537" xr:uid="{00000000-0005-0000-0000-0000F80D0000}"/>
    <cellStyle name="Normal 5 3 6 3 2 2" xfId="7759" xr:uid="{00000000-0005-0000-0000-0000761E0000}"/>
    <cellStyle name="Normal 5 3 6 3 2 2 2" xfId="17350" xr:uid="{1AF30EB0-EFB7-49F0-A786-A802A745B5C8}"/>
    <cellStyle name="Normal 5 3 6 3 2 3" xfId="13129" xr:uid="{1901CA70-9569-4DD6-B160-6475BB7F0754}"/>
    <cellStyle name="Normal 5 3 6 3 3" xfId="5614" xr:uid="{00000000-0005-0000-0000-000015160000}"/>
    <cellStyle name="Normal 5 3 6 3 3 2" xfId="15205" xr:uid="{C9090C99-0BA3-4958-ADAB-06044A6ED7C6}"/>
    <cellStyle name="Normal 5 3 6 3 4" xfId="10900" xr:uid="{FE32444D-598D-42F5-B8F3-3DE1F5033712}"/>
    <cellStyle name="Normal 5 3 6 4" xfId="1720" xr:uid="{00000000-0005-0000-0000-0000DF060000}"/>
    <cellStyle name="Normal 5 3 6 4 2" xfId="3950" xr:uid="{00000000-0005-0000-0000-0000950F0000}"/>
    <cellStyle name="Normal 5 3 6 4 2 2" xfId="8172" xr:uid="{00000000-0005-0000-0000-000013200000}"/>
    <cellStyle name="Normal 5 3 6 4 2 2 2" xfId="17763" xr:uid="{5672628A-0329-4FC3-8EC6-8288A90ED2EA}"/>
    <cellStyle name="Normal 5 3 6 4 2 3" xfId="13542" xr:uid="{C7CB981F-955B-49D7-B53B-334E41970E10}"/>
    <cellStyle name="Normal 5 3 6 4 3" xfId="6027" xr:uid="{00000000-0005-0000-0000-0000B2170000}"/>
    <cellStyle name="Normal 5 3 6 4 3 2" xfId="15618" xr:uid="{59F52CF9-9BDE-4B33-8BCF-B0EE4F3C5A97}"/>
    <cellStyle name="Normal 5 3 6 4 4" xfId="11313" xr:uid="{4D93B0AC-304F-490E-A2B3-21AC67A58B0E}"/>
    <cellStyle name="Normal 5 3 6 5" xfId="2134" xr:uid="{00000000-0005-0000-0000-00007D080000}"/>
    <cellStyle name="Normal 5 3 6 5 2" xfId="4363" xr:uid="{00000000-0005-0000-0000-000032110000}"/>
    <cellStyle name="Normal 5 3 6 5 2 2" xfId="8585" xr:uid="{00000000-0005-0000-0000-0000B0210000}"/>
    <cellStyle name="Normal 5 3 6 5 2 2 2" xfId="18176" xr:uid="{39105FBC-CED2-4E1A-8734-323834C611B8}"/>
    <cellStyle name="Normal 5 3 6 5 2 3" xfId="13955" xr:uid="{CBE15AE4-16C4-4A50-9770-A1C2FFA650C0}"/>
    <cellStyle name="Normal 5 3 6 5 3" xfId="6440" xr:uid="{00000000-0005-0000-0000-00004F190000}"/>
    <cellStyle name="Normal 5 3 6 5 3 2" xfId="16031" xr:uid="{E67CD93F-AC46-479E-9D9B-4BBC9840C965}"/>
    <cellStyle name="Normal 5 3 6 5 4" xfId="11726" xr:uid="{C602D4EE-4CA1-4EA4-99A3-565DDE628FBD}"/>
    <cellStyle name="Normal 5 3 6 6" xfId="2570" xr:uid="{00000000-0005-0000-0000-0000310A0000}"/>
    <cellStyle name="Normal 5 3 6 6 2" xfId="6853" xr:uid="{00000000-0005-0000-0000-0000EC1A0000}"/>
    <cellStyle name="Normal 5 3 6 6 2 2" xfId="16444" xr:uid="{E69C1B92-66FC-4CBC-8DC2-C6DD85D01CDD}"/>
    <cellStyle name="Normal 5 3 6 6 3" xfId="12162" xr:uid="{D45A9573-5C6E-427E-BCCE-F433B45ACDAF}"/>
    <cellStyle name="Normal 5 3 6 7" xfId="4788" xr:uid="{00000000-0005-0000-0000-0000DB120000}"/>
    <cellStyle name="Normal 5 3 6 7 2" xfId="14379" xr:uid="{B58078DD-B991-4E3D-8C73-D7964916C4D0}"/>
    <cellStyle name="Normal 5 3 6 8" xfId="8930" xr:uid="{00000000-0005-0000-0000-000009230000}"/>
    <cellStyle name="Normal 5 3 6 9" xfId="10017" xr:uid="{70A587A9-C9D7-4556-9278-7ADC6E37AA76}"/>
    <cellStyle name="Normal 5 3 7" xfId="874" xr:uid="{00000000-0005-0000-0000-000091030000}"/>
    <cellStyle name="Normal 5 3 7 2" xfId="3109" xr:uid="{00000000-0005-0000-0000-00004C0C0000}"/>
    <cellStyle name="Normal 5 3 7 2 2" xfId="7331" xr:uid="{00000000-0005-0000-0000-0000CA1C0000}"/>
    <cellStyle name="Normal 5 3 7 2 2 2" xfId="16922" xr:uid="{A0EA2672-2359-4521-8D15-538B201B2258}"/>
    <cellStyle name="Normal 5 3 7 2 3" xfId="12701" xr:uid="{DDC77812-31D9-4625-8DC5-0A9A79471615}"/>
    <cellStyle name="Normal 5 3 7 3" xfId="5186" xr:uid="{00000000-0005-0000-0000-000069140000}"/>
    <cellStyle name="Normal 5 3 7 3 2" xfId="14777" xr:uid="{35013D4B-352B-4936-976F-336A939FEE59}"/>
    <cellStyle name="Normal 5 3 7 4" xfId="9133" xr:uid="{00000000-0005-0000-0000-0000D4230000}"/>
    <cellStyle name="Normal 5 3 7 5" xfId="10467" xr:uid="{09E3CC0B-7DA4-45C3-97D8-3E1AD8BCD835}"/>
    <cellStyle name="Normal 5 3 8" xfId="1292" xr:uid="{00000000-0005-0000-0000-000033050000}"/>
    <cellStyle name="Normal 5 3 8 2" xfId="3522" xr:uid="{00000000-0005-0000-0000-0000E90D0000}"/>
    <cellStyle name="Normal 5 3 8 2 2" xfId="7744" xr:uid="{00000000-0005-0000-0000-0000671E0000}"/>
    <cellStyle name="Normal 5 3 8 2 2 2" xfId="17335" xr:uid="{22AD5DD3-6A98-4B80-AD76-6922E9F14D0E}"/>
    <cellStyle name="Normal 5 3 8 2 3" xfId="13114" xr:uid="{DC78834C-51DC-45D3-B0BB-F87AE80148E3}"/>
    <cellStyle name="Normal 5 3 8 3" xfId="5599" xr:uid="{00000000-0005-0000-0000-000006160000}"/>
    <cellStyle name="Normal 5 3 8 3 2" xfId="15190" xr:uid="{8ED59E34-A0AB-4CB2-B150-7C1DC67BDD5A}"/>
    <cellStyle name="Normal 5 3 8 4" xfId="10885" xr:uid="{6E98C781-D865-4F5A-B7CF-787EE3489D2E}"/>
    <cellStyle name="Normal 5 3 9" xfId="1705" xr:uid="{00000000-0005-0000-0000-0000D0060000}"/>
    <cellStyle name="Normal 5 3 9 2" xfId="3935" xr:uid="{00000000-0005-0000-0000-0000860F0000}"/>
    <cellStyle name="Normal 5 3 9 2 2" xfId="8157" xr:uid="{00000000-0005-0000-0000-000004200000}"/>
    <cellStyle name="Normal 5 3 9 2 2 2" xfId="17748" xr:uid="{F87B7DDD-7079-4829-A7E2-8F4843CE3392}"/>
    <cellStyle name="Normal 5 3 9 2 3" xfId="13527" xr:uid="{DB247DD8-1E5D-4EFA-A0A2-30F5FD898B7F}"/>
    <cellStyle name="Normal 5 3 9 3" xfId="6012" xr:uid="{00000000-0005-0000-0000-0000A3170000}"/>
    <cellStyle name="Normal 5 3 9 3 2" xfId="15603" xr:uid="{B339DADF-E068-4D31-854C-D5290BE92B46}"/>
    <cellStyle name="Normal 5 3 9 4" xfId="11298" xr:uid="{CA1CF8EE-81AE-44E3-920D-540A0D471C88}"/>
    <cellStyle name="Normal 5 4" xfId="420" xr:uid="{00000000-0005-0000-0000-0000C8010000}"/>
    <cellStyle name="Normal 5 4 10" xfId="4789" xr:uid="{00000000-0005-0000-0000-0000DC120000}"/>
    <cellStyle name="Normal 5 4 10 2" xfId="14380" xr:uid="{F3A1811F-164E-4977-B358-E99CF93D06A8}"/>
    <cellStyle name="Normal 5 4 11" xfId="8734" xr:uid="{00000000-0005-0000-0000-000045220000}"/>
    <cellStyle name="Normal 5 4 12" xfId="10018" xr:uid="{213BE5AB-E8A9-452A-9C44-6DA91E73AE0E}"/>
    <cellStyle name="Normal 5 4 2" xfId="421" xr:uid="{00000000-0005-0000-0000-0000C9010000}"/>
    <cellStyle name="Normal 5 4 2 10" xfId="8794" xr:uid="{00000000-0005-0000-0000-000081220000}"/>
    <cellStyle name="Normal 5 4 2 11" xfId="10019" xr:uid="{36034A0E-B5A2-4905-8A08-D18E2FD6C28C}"/>
    <cellStyle name="Normal 5 4 2 2" xfId="422" xr:uid="{00000000-0005-0000-0000-0000CA010000}"/>
    <cellStyle name="Normal 5 4 2 2 10" xfId="10020" xr:uid="{4AE6942D-CADD-4303-AA46-7F6CCCF65FA9}"/>
    <cellStyle name="Normal 5 4 2 2 2" xfId="423" xr:uid="{00000000-0005-0000-0000-0000CB010000}"/>
    <cellStyle name="Normal 5 4 2 2 2 2" xfId="894" xr:uid="{00000000-0005-0000-0000-0000A5030000}"/>
    <cellStyle name="Normal 5 4 2 2 2 2 2" xfId="3128" xr:uid="{00000000-0005-0000-0000-00005F0C0000}"/>
    <cellStyle name="Normal 5 4 2 2 2 2 2 2" xfId="7350" xr:uid="{00000000-0005-0000-0000-0000DD1C0000}"/>
    <cellStyle name="Normal 5 4 2 2 2 2 2 2 2" xfId="16941" xr:uid="{92F934D5-831D-4BB9-8C2F-E36288FC68A1}"/>
    <cellStyle name="Normal 5 4 2 2 2 2 2 3" xfId="12720" xr:uid="{E6D7E113-DA13-4959-A7C7-B8C5AD3E6DAD}"/>
    <cellStyle name="Normal 5 4 2 2 2 2 3" xfId="5205" xr:uid="{00000000-0005-0000-0000-00007C140000}"/>
    <cellStyle name="Normal 5 4 2 2 2 2 3 2" xfId="14796" xr:uid="{44803AD5-6905-4F40-85F8-859577550BAE}"/>
    <cellStyle name="Normal 5 4 2 2 2 2 4" xfId="9529" xr:uid="{00000000-0005-0000-0000-000060250000}"/>
    <cellStyle name="Normal 5 4 2 2 2 2 5" xfId="10487" xr:uid="{62347E30-5A8C-4D02-832D-41BD6F750220}"/>
    <cellStyle name="Normal 5 4 2 2 2 3" xfId="1311" xr:uid="{00000000-0005-0000-0000-000046050000}"/>
    <cellStyle name="Normal 5 4 2 2 2 3 2" xfId="3541" xr:uid="{00000000-0005-0000-0000-0000FC0D0000}"/>
    <cellStyle name="Normal 5 4 2 2 2 3 2 2" xfId="7763" xr:uid="{00000000-0005-0000-0000-00007A1E0000}"/>
    <cellStyle name="Normal 5 4 2 2 2 3 2 2 2" xfId="17354" xr:uid="{191856DF-B6D4-4AB7-B60F-F7FB15AF070C}"/>
    <cellStyle name="Normal 5 4 2 2 2 3 2 3" xfId="13133" xr:uid="{E0817196-7C45-4D5C-B5F3-2C92F0481FD2}"/>
    <cellStyle name="Normal 5 4 2 2 2 3 3" xfId="5618" xr:uid="{00000000-0005-0000-0000-000019160000}"/>
    <cellStyle name="Normal 5 4 2 2 2 3 3 2" xfId="15209" xr:uid="{80D61702-2938-43D2-9D08-1A666223FE7C}"/>
    <cellStyle name="Normal 5 4 2 2 2 3 4" xfId="10904" xr:uid="{E8CDD2D7-2FBF-4FF7-8DA7-463498EA3A11}"/>
    <cellStyle name="Normal 5 4 2 2 2 4" xfId="1724" xr:uid="{00000000-0005-0000-0000-0000E3060000}"/>
    <cellStyle name="Normal 5 4 2 2 2 4 2" xfId="3954" xr:uid="{00000000-0005-0000-0000-0000990F0000}"/>
    <cellStyle name="Normal 5 4 2 2 2 4 2 2" xfId="8176" xr:uid="{00000000-0005-0000-0000-000017200000}"/>
    <cellStyle name="Normal 5 4 2 2 2 4 2 2 2" xfId="17767" xr:uid="{798D229B-E3E7-46BF-A83E-0E6442DEBC5F}"/>
    <cellStyle name="Normal 5 4 2 2 2 4 2 3" xfId="13546" xr:uid="{9B513594-049B-4941-B236-DE0D4341A86F}"/>
    <cellStyle name="Normal 5 4 2 2 2 4 3" xfId="6031" xr:uid="{00000000-0005-0000-0000-0000B6170000}"/>
    <cellStyle name="Normal 5 4 2 2 2 4 3 2" xfId="15622" xr:uid="{AD5A9EB4-0916-46D3-A1FD-0BDB2418C430}"/>
    <cellStyle name="Normal 5 4 2 2 2 4 4" xfId="11317" xr:uid="{213ACC09-F8AD-4954-B120-138A1694246B}"/>
    <cellStyle name="Normal 5 4 2 2 2 5" xfId="2138" xr:uid="{00000000-0005-0000-0000-000081080000}"/>
    <cellStyle name="Normal 5 4 2 2 2 5 2" xfId="4367" xr:uid="{00000000-0005-0000-0000-000036110000}"/>
    <cellStyle name="Normal 5 4 2 2 2 5 2 2" xfId="8589" xr:uid="{00000000-0005-0000-0000-0000B4210000}"/>
    <cellStyle name="Normal 5 4 2 2 2 5 2 2 2" xfId="18180" xr:uid="{61E64F91-4283-4E62-B71E-6C399D69F114}"/>
    <cellStyle name="Normal 5 4 2 2 2 5 2 3" xfId="13959" xr:uid="{A280DB09-26B1-4A40-AD1B-DAEFD030DD02}"/>
    <cellStyle name="Normal 5 4 2 2 2 5 3" xfId="6444" xr:uid="{00000000-0005-0000-0000-000053190000}"/>
    <cellStyle name="Normal 5 4 2 2 2 5 3 2" xfId="16035" xr:uid="{BBE9AE2C-963F-496A-A137-16651C45F184}"/>
    <cellStyle name="Normal 5 4 2 2 2 5 4" xfId="11730" xr:uid="{E848C454-C877-4ECF-9405-EAD63E1EB0F7}"/>
    <cellStyle name="Normal 5 4 2 2 2 6" xfId="2574" xr:uid="{00000000-0005-0000-0000-0000350A0000}"/>
    <cellStyle name="Normal 5 4 2 2 2 6 2" xfId="6857" xr:uid="{00000000-0005-0000-0000-0000F01A0000}"/>
    <cellStyle name="Normal 5 4 2 2 2 6 2 2" xfId="16448" xr:uid="{4C15AAB1-AE8C-4D37-A7F3-AFAAC2F8A794}"/>
    <cellStyle name="Normal 5 4 2 2 2 6 3" xfId="12166" xr:uid="{F07E5F73-BCEC-4A95-A662-BD7CBBF42549}"/>
    <cellStyle name="Normal 5 4 2 2 2 7" xfId="4792" xr:uid="{00000000-0005-0000-0000-0000DF120000}"/>
    <cellStyle name="Normal 5 4 2 2 2 7 2" xfId="14383" xr:uid="{F20E214B-2C51-48FA-9ABA-C531C287005B}"/>
    <cellStyle name="Normal 5 4 2 2 2 8" xfId="9104" xr:uid="{00000000-0005-0000-0000-0000B7230000}"/>
    <cellStyle name="Normal 5 4 2 2 2 9" xfId="10021" xr:uid="{544FE3ED-47D6-40F1-A7AB-6D6BFCB5D104}"/>
    <cellStyle name="Normal 5 4 2 2 3" xfId="893" xr:uid="{00000000-0005-0000-0000-0000A4030000}"/>
    <cellStyle name="Normal 5 4 2 2 3 2" xfId="3127" xr:uid="{00000000-0005-0000-0000-00005E0C0000}"/>
    <cellStyle name="Normal 5 4 2 2 3 2 2" xfId="7349" xr:uid="{00000000-0005-0000-0000-0000DC1C0000}"/>
    <cellStyle name="Normal 5 4 2 2 3 2 2 2" xfId="16940" xr:uid="{A6849E04-349C-4D5A-8F3F-B1A2E4D559F6}"/>
    <cellStyle name="Normal 5 4 2 2 3 2 3" xfId="12719" xr:uid="{9350A657-184B-4B3D-87E9-437869FCE25C}"/>
    <cellStyle name="Normal 5 4 2 2 3 3" xfId="5204" xr:uid="{00000000-0005-0000-0000-00007B140000}"/>
    <cellStyle name="Normal 5 4 2 2 3 3 2" xfId="14795" xr:uid="{9CB3D80F-10FC-44F9-A61D-A5AFE961CE00}"/>
    <cellStyle name="Normal 5 4 2 2 3 4" xfId="9322" xr:uid="{00000000-0005-0000-0000-000091240000}"/>
    <cellStyle name="Normal 5 4 2 2 3 5" xfId="10486" xr:uid="{C5F193FC-6458-4A82-8399-7B8A65E546B9}"/>
    <cellStyle name="Normal 5 4 2 2 4" xfId="1310" xr:uid="{00000000-0005-0000-0000-000045050000}"/>
    <cellStyle name="Normal 5 4 2 2 4 2" xfId="3540" xr:uid="{00000000-0005-0000-0000-0000FB0D0000}"/>
    <cellStyle name="Normal 5 4 2 2 4 2 2" xfId="7762" xr:uid="{00000000-0005-0000-0000-0000791E0000}"/>
    <cellStyle name="Normal 5 4 2 2 4 2 2 2" xfId="17353" xr:uid="{CE25F915-FE01-4709-9EC2-4582581C3616}"/>
    <cellStyle name="Normal 5 4 2 2 4 2 3" xfId="13132" xr:uid="{1B824C45-54DE-4978-BAC3-847CBF29E3E3}"/>
    <cellStyle name="Normal 5 4 2 2 4 3" xfId="5617" xr:uid="{00000000-0005-0000-0000-000018160000}"/>
    <cellStyle name="Normal 5 4 2 2 4 3 2" xfId="15208" xr:uid="{485ADC07-C967-4CCA-A129-069CE68BE576}"/>
    <cellStyle name="Normal 5 4 2 2 4 4" xfId="10903" xr:uid="{E1D14D50-08EF-4F71-A810-EE0A9EBBAF1E}"/>
    <cellStyle name="Normal 5 4 2 2 5" xfId="1723" xr:uid="{00000000-0005-0000-0000-0000E2060000}"/>
    <cellStyle name="Normal 5 4 2 2 5 2" xfId="3953" xr:uid="{00000000-0005-0000-0000-0000980F0000}"/>
    <cellStyle name="Normal 5 4 2 2 5 2 2" xfId="8175" xr:uid="{00000000-0005-0000-0000-000016200000}"/>
    <cellStyle name="Normal 5 4 2 2 5 2 2 2" xfId="17766" xr:uid="{FB347D14-ACAD-4937-9EC9-482829DAF8AD}"/>
    <cellStyle name="Normal 5 4 2 2 5 2 3" xfId="13545" xr:uid="{D89B0AD5-585F-45F8-892E-CF7F217BCFFE}"/>
    <cellStyle name="Normal 5 4 2 2 5 3" xfId="6030" xr:uid="{00000000-0005-0000-0000-0000B5170000}"/>
    <cellStyle name="Normal 5 4 2 2 5 3 2" xfId="15621" xr:uid="{F23A0AD9-C1F2-4CCB-8D40-8D7D7539C5CA}"/>
    <cellStyle name="Normal 5 4 2 2 5 4" xfId="11316" xr:uid="{5BA4E7F5-A83F-439D-B034-3B394FB29C99}"/>
    <cellStyle name="Normal 5 4 2 2 6" xfId="2137" xr:uid="{00000000-0005-0000-0000-000080080000}"/>
    <cellStyle name="Normal 5 4 2 2 6 2" xfId="4366" xr:uid="{00000000-0005-0000-0000-000035110000}"/>
    <cellStyle name="Normal 5 4 2 2 6 2 2" xfId="8588" xr:uid="{00000000-0005-0000-0000-0000B3210000}"/>
    <cellStyle name="Normal 5 4 2 2 6 2 2 2" xfId="18179" xr:uid="{B1BA5C68-FE42-43CC-9A43-33872ED7B83E}"/>
    <cellStyle name="Normal 5 4 2 2 6 2 3" xfId="13958" xr:uid="{C143DAEB-AE84-4C8D-BC85-AD3686E911C6}"/>
    <cellStyle name="Normal 5 4 2 2 6 3" xfId="6443" xr:uid="{00000000-0005-0000-0000-000052190000}"/>
    <cellStyle name="Normal 5 4 2 2 6 3 2" xfId="16034" xr:uid="{DDF4B5F4-E18D-4959-9413-5E2D0A7BE869}"/>
    <cellStyle name="Normal 5 4 2 2 6 4" xfId="11729" xr:uid="{A3426B59-3775-4D94-8ABE-7F122F0A18F5}"/>
    <cellStyle name="Normal 5 4 2 2 7" xfId="2573" xr:uid="{00000000-0005-0000-0000-0000340A0000}"/>
    <cellStyle name="Normal 5 4 2 2 7 2" xfId="6856" xr:uid="{00000000-0005-0000-0000-0000EF1A0000}"/>
    <cellStyle name="Normal 5 4 2 2 7 2 2" xfId="16447" xr:uid="{43D216DD-2C18-4DE7-B3E1-459AB7F5BC97}"/>
    <cellStyle name="Normal 5 4 2 2 7 3" xfId="12165" xr:uid="{D4914E48-1400-4083-A5EA-D596767F64B8}"/>
    <cellStyle name="Normal 5 4 2 2 8" xfId="4791" xr:uid="{00000000-0005-0000-0000-0000DE120000}"/>
    <cellStyle name="Normal 5 4 2 2 8 2" xfId="14382" xr:uid="{1AD3CF58-49A0-45E5-A736-F3E87B38D318}"/>
    <cellStyle name="Normal 5 4 2 2 9" xfId="8897" xr:uid="{00000000-0005-0000-0000-0000E8220000}"/>
    <cellStyle name="Normal 5 4 2 3" xfId="424" xr:uid="{00000000-0005-0000-0000-0000CC010000}"/>
    <cellStyle name="Normal 5 4 2 3 2" xfId="895" xr:uid="{00000000-0005-0000-0000-0000A6030000}"/>
    <cellStyle name="Normal 5 4 2 3 2 2" xfId="3129" xr:uid="{00000000-0005-0000-0000-0000600C0000}"/>
    <cellStyle name="Normal 5 4 2 3 2 2 2" xfId="7351" xr:uid="{00000000-0005-0000-0000-0000DE1C0000}"/>
    <cellStyle name="Normal 5 4 2 3 2 2 2 2" xfId="16942" xr:uid="{DF8776C8-85D5-4B7D-92D9-1FB91B52CE3B}"/>
    <cellStyle name="Normal 5 4 2 3 2 2 3" xfId="12721" xr:uid="{B4258FCE-13DC-4624-8DCE-1C6B0BAF6395}"/>
    <cellStyle name="Normal 5 4 2 3 2 3" xfId="5206" xr:uid="{00000000-0005-0000-0000-00007D140000}"/>
    <cellStyle name="Normal 5 4 2 3 2 3 2" xfId="14797" xr:uid="{A5164A23-C10D-452A-BF2D-A6D2384520E7}"/>
    <cellStyle name="Normal 5 4 2 3 2 4" xfId="9426" xr:uid="{00000000-0005-0000-0000-0000F9240000}"/>
    <cellStyle name="Normal 5 4 2 3 2 5" xfId="10488" xr:uid="{46BC90C6-ACE3-49A1-9C43-944718284357}"/>
    <cellStyle name="Normal 5 4 2 3 3" xfId="1312" xr:uid="{00000000-0005-0000-0000-000047050000}"/>
    <cellStyle name="Normal 5 4 2 3 3 2" xfId="3542" xr:uid="{00000000-0005-0000-0000-0000FD0D0000}"/>
    <cellStyle name="Normal 5 4 2 3 3 2 2" xfId="7764" xr:uid="{00000000-0005-0000-0000-00007B1E0000}"/>
    <cellStyle name="Normal 5 4 2 3 3 2 2 2" xfId="17355" xr:uid="{8B4AACE7-EF6C-4D14-BF3E-BFB7A1EC5160}"/>
    <cellStyle name="Normal 5 4 2 3 3 2 3" xfId="13134" xr:uid="{7F4843C6-26E7-450C-8E49-233761064B26}"/>
    <cellStyle name="Normal 5 4 2 3 3 3" xfId="5619" xr:uid="{00000000-0005-0000-0000-00001A160000}"/>
    <cellStyle name="Normal 5 4 2 3 3 3 2" xfId="15210" xr:uid="{DC4EC530-BE62-4FB9-B2DF-9887492278AF}"/>
    <cellStyle name="Normal 5 4 2 3 3 4" xfId="10905" xr:uid="{3DF7F843-9D23-4BD8-ACE0-80D7538B4AAB}"/>
    <cellStyle name="Normal 5 4 2 3 4" xfId="1725" xr:uid="{00000000-0005-0000-0000-0000E4060000}"/>
    <cellStyle name="Normal 5 4 2 3 4 2" xfId="3955" xr:uid="{00000000-0005-0000-0000-00009A0F0000}"/>
    <cellStyle name="Normal 5 4 2 3 4 2 2" xfId="8177" xr:uid="{00000000-0005-0000-0000-000018200000}"/>
    <cellStyle name="Normal 5 4 2 3 4 2 2 2" xfId="17768" xr:uid="{C3095777-FF35-4AEE-913D-D03F9BD443A0}"/>
    <cellStyle name="Normal 5 4 2 3 4 2 3" xfId="13547" xr:uid="{440B5AA2-82B6-486A-BBFB-F658440311B2}"/>
    <cellStyle name="Normal 5 4 2 3 4 3" xfId="6032" xr:uid="{00000000-0005-0000-0000-0000B7170000}"/>
    <cellStyle name="Normal 5 4 2 3 4 3 2" xfId="15623" xr:uid="{BE62CEBA-498C-4553-B59A-7EF27BAF5E83}"/>
    <cellStyle name="Normal 5 4 2 3 4 4" xfId="11318" xr:uid="{3FA762A4-3A1D-48D6-9EA7-88021EB51DB5}"/>
    <cellStyle name="Normal 5 4 2 3 5" xfId="2139" xr:uid="{00000000-0005-0000-0000-000082080000}"/>
    <cellStyle name="Normal 5 4 2 3 5 2" xfId="4368" xr:uid="{00000000-0005-0000-0000-000037110000}"/>
    <cellStyle name="Normal 5 4 2 3 5 2 2" xfId="8590" xr:uid="{00000000-0005-0000-0000-0000B5210000}"/>
    <cellStyle name="Normal 5 4 2 3 5 2 2 2" xfId="18181" xr:uid="{49E48442-D287-463A-8CDA-FDB25FB2C59F}"/>
    <cellStyle name="Normal 5 4 2 3 5 2 3" xfId="13960" xr:uid="{5F318E44-3441-4C37-B604-352B4A3C3859}"/>
    <cellStyle name="Normal 5 4 2 3 5 3" xfId="6445" xr:uid="{00000000-0005-0000-0000-000054190000}"/>
    <cellStyle name="Normal 5 4 2 3 5 3 2" xfId="16036" xr:uid="{0C8AF7C6-2F8D-463B-B5BF-766262D76117}"/>
    <cellStyle name="Normal 5 4 2 3 5 4" xfId="11731" xr:uid="{17C806CF-7537-4A0C-AD21-A2E39972E930}"/>
    <cellStyle name="Normal 5 4 2 3 6" xfId="2575" xr:uid="{00000000-0005-0000-0000-0000360A0000}"/>
    <cellStyle name="Normal 5 4 2 3 6 2" xfId="6858" xr:uid="{00000000-0005-0000-0000-0000F11A0000}"/>
    <cellStyle name="Normal 5 4 2 3 6 2 2" xfId="16449" xr:uid="{7FCE1E24-6B1D-4824-977E-627CEBB2CA72}"/>
    <cellStyle name="Normal 5 4 2 3 6 3" xfId="12167" xr:uid="{8FBCCD42-D9AE-47C2-B313-332DB176E73E}"/>
    <cellStyle name="Normal 5 4 2 3 7" xfId="4793" xr:uid="{00000000-0005-0000-0000-0000E0120000}"/>
    <cellStyle name="Normal 5 4 2 3 7 2" xfId="14384" xr:uid="{F7D004D9-D406-4265-B552-3C6021ACB123}"/>
    <cellStyle name="Normal 5 4 2 3 8" xfId="9001" xr:uid="{00000000-0005-0000-0000-000050230000}"/>
    <cellStyle name="Normal 5 4 2 3 9" xfId="10022" xr:uid="{044F5875-9F4D-4904-9982-55A7670347EE}"/>
    <cellStyle name="Normal 5 4 2 4" xfId="892" xr:uid="{00000000-0005-0000-0000-0000A3030000}"/>
    <cellStyle name="Normal 5 4 2 4 2" xfId="3126" xr:uid="{00000000-0005-0000-0000-00005D0C0000}"/>
    <cellStyle name="Normal 5 4 2 4 2 2" xfId="7348" xr:uid="{00000000-0005-0000-0000-0000DB1C0000}"/>
    <cellStyle name="Normal 5 4 2 4 2 2 2" xfId="16939" xr:uid="{B3521BE5-1A42-4230-AE26-A88784746673}"/>
    <cellStyle name="Normal 5 4 2 4 2 3" xfId="12718" xr:uid="{82BB7E4D-EEC3-4496-8515-73CCAFE84258}"/>
    <cellStyle name="Normal 5 4 2 4 3" xfId="5203" xr:uid="{00000000-0005-0000-0000-00007A140000}"/>
    <cellStyle name="Normal 5 4 2 4 3 2" xfId="14794" xr:uid="{573E8EC2-0457-44FD-830F-1B883E98C4AF}"/>
    <cellStyle name="Normal 5 4 2 4 4" xfId="9219" xr:uid="{00000000-0005-0000-0000-00002A240000}"/>
    <cellStyle name="Normal 5 4 2 4 5" xfId="10485" xr:uid="{612496E7-6E62-4402-8DF0-76D2E60B81BD}"/>
    <cellStyle name="Normal 5 4 2 5" xfId="1309" xr:uid="{00000000-0005-0000-0000-000044050000}"/>
    <cellStyle name="Normal 5 4 2 5 2" xfId="3539" xr:uid="{00000000-0005-0000-0000-0000FA0D0000}"/>
    <cellStyle name="Normal 5 4 2 5 2 2" xfId="7761" xr:uid="{00000000-0005-0000-0000-0000781E0000}"/>
    <cellStyle name="Normal 5 4 2 5 2 2 2" xfId="17352" xr:uid="{64742B9E-9220-4063-96DB-C27FCFE4C1A8}"/>
    <cellStyle name="Normal 5 4 2 5 2 3" xfId="13131" xr:uid="{11CDE1EF-51E2-4636-835E-F9CA200E3599}"/>
    <cellStyle name="Normal 5 4 2 5 3" xfId="5616" xr:uid="{00000000-0005-0000-0000-000017160000}"/>
    <cellStyle name="Normal 5 4 2 5 3 2" xfId="15207" xr:uid="{FA83EF64-C7FC-49DD-BF22-7B41D44DE8CE}"/>
    <cellStyle name="Normal 5 4 2 5 4" xfId="10902" xr:uid="{9952EFA8-6C9D-452F-BDBB-AB7B713E1E7B}"/>
    <cellStyle name="Normal 5 4 2 6" xfId="1722" xr:uid="{00000000-0005-0000-0000-0000E1060000}"/>
    <cellStyle name="Normal 5 4 2 6 2" xfId="3952" xr:uid="{00000000-0005-0000-0000-0000970F0000}"/>
    <cellStyle name="Normal 5 4 2 6 2 2" xfId="8174" xr:uid="{00000000-0005-0000-0000-000015200000}"/>
    <cellStyle name="Normal 5 4 2 6 2 2 2" xfId="17765" xr:uid="{E2558231-1C1C-4173-9851-2C94AFCF86B4}"/>
    <cellStyle name="Normal 5 4 2 6 2 3" xfId="13544" xr:uid="{F4E7662D-2B1A-41F0-AF48-2180B0B02961}"/>
    <cellStyle name="Normal 5 4 2 6 3" xfId="6029" xr:uid="{00000000-0005-0000-0000-0000B4170000}"/>
    <cellStyle name="Normal 5 4 2 6 3 2" xfId="15620" xr:uid="{4ED3BB0B-9C64-4013-829D-1EF4372D30D0}"/>
    <cellStyle name="Normal 5 4 2 6 4" xfId="11315" xr:uid="{174F8636-D074-442E-B1D3-C697199C3138}"/>
    <cellStyle name="Normal 5 4 2 7" xfId="2136" xr:uid="{00000000-0005-0000-0000-00007F080000}"/>
    <cellStyle name="Normal 5 4 2 7 2" xfId="4365" xr:uid="{00000000-0005-0000-0000-000034110000}"/>
    <cellStyle name="Normal 5 4 2 7 2 2" xfId="8587" xr:uid="{00000000-0005-0000-0000-0000B2210000}"/>
    <cellStyle name="Normal 5 4 2 7 2 2 2" xfId="18178" xr:uid="{39E752F2-5E19-4E28-A57B-70940BBAFA26}"/>
    <cellStyle name="Normal 5 4 2 7 2 3" xfId="13957" xr:uid="{ED9F616D-F7B5-4002-A592-F50F563D37C4}"/>
    <cellStyle name="Normal 5 4 2 7 3" xfId="6442" xr:uid="{00000000-0005-0000-0000-000051190000}"/>
    <cellStyle name="Normal 5 4 2 7 3 2" xfId="16033" xr:uid="{778FC919-A74E-4427-A99A-364D91E44BDC}"/>
    <cellStyle name="Normal 5 4 2 7 4" xfId="11728" xr:uid="{B6070F63-E612-46D6-BC71-9C239E7D3054}"/>
    <cellStyle name="Normal 5 4 2 8" xfId="2572" xr:uid="{00000000-0005-0000-0000-0000330A0000}"/>
    <cellStyle name="Normal 5 4 2 8 2" xfId="6855" xr:uid="{00000000-0005-0000-0000-0000EE1A0000}"/>
    <cellStyle name="Normal 5 4 2 8 2 2" xfId="16446" xr:uid="{3B7E1312-9DC3-4EF8-9952-5D47ACF270A2}"/>
    <cellStyle name="Normal 5 4 2 8 3" xfId="12164" xr:uid="{1811CB92-80C6-45CB-9549-9EDE86D3733A}"/>
    <cellStyle name="Normal 5 4 2 9" xfId="4790" xr:uid="{00000000-0005-0000-0000-0000DD120000}"/>
    <cellStyle name="Normal 5 4 2 9 2" xfId="14381" xr:uid="{80BBAE28-CB29-496C-B4E6-F3BFA47E0EDA}"/>
    <cellStyle name="Normal 5 4 3" xfId="425" xr:uid="{00000000-0005-0000-0000-0000CD010000}"/>
    <cellStyle name="Normal 5 4 3 10" xfId="10023" xr:uid="{E96759B4-59FC-470E-8D1E-E9BFC1153D7D}"/>
    <cellStyle name="Normal 5 4 3 2" xfId="426" xr:uid="{00000000-0005-0000-0000-0000CE010000}"/>
    <cellStyle name="Normal 5 4 3 2 2" xfId="897" xr:uid="{00000000-0005-0000-0000-0000A8030000}"/>
    <cellStyle name="Normal 5 4 3 2 2 2" xfId="3131" xr:uid="{00000000-0005-0000-0000-0000620C0000}"/>
    <cellStyle name="Normal 5 4 3 2 2 2 2" xfId="7353" xr:uid="{00000000-0005-0000-0000-0000E01C0000}"/>
    <cellStyle name="Normal 5 4 3 2 2 2 2 2" xfId="16944" xr:uid="{4A3AE139-B24C-4514-9CAD-69C00EFE54C4}"/>
    <cellStyle name="Normal 5 4 3 2 2 2 3" xfId="12723" xr:uid="{826146C1-4CCE-4404-B7AC-D9E2AEDEBB50}"/>
    <cellStyle name="Normal 5 4 3 2 2 3" xfId="5208" xr:uid="{00000000-0005-0000-0000-00007F140000}"/>
    <cellStyle name="Normal 5 4 3 2 2 3 2" xfId="14799" xr:uid="{A5F7BD05-9EEA-41B7-884D-A46B546E1ED2}"/>
    <cellStyle name="Normal 5 4 3 2 2 4" xfId="9469" xr:uid="{00000000-0005-0000-0000-000024250000}"/>
    <cellStyle name="Normal 5 4 3 2 2 5" xfId="10490" xr:uid="{8CB07D5C-5D5D-45D3-9D50-6F0E8B7410A3}"/>
    <cellStyle name="Normal 5 4 3 2 3" xfId="1314" xr:uid="{00000000-0005-0000-0000-000049050000}"/>
    <cellStyle name="Normal 5 4 3 2 3 2" xfId="3544" xr:uid="{00000000-0005-0000-0000-0000FF0D0000}"/>
    <cellStyle name="Normal 5 4 3 2 3 2 2" xfId="7766" xr:uid="{00000000-0005-0000-0000-00007D1E0000}"/>
    <cellStyle name="Normal 5 4 3 2 3 2 2 2" xfId="17357" xr:uid="{B23D677B-276D-45E5-85DB-2505A138B848}"/>
    <cellStyle name="Normal 5 4 3 2 3 2 3" xfId="13136" xr:uid="{F1724431-01B2-409C-AE1E-012AA2705D11}"/>
    <cellStyle name="Normal 5 4 3 2 3 3" xfId="5621" xr:uid="{00000000-0005-0000-0000-00001C160000}"/>
    <cellStyle name="Normal 5 4 3 2 3 3 2" xfId="15212" xr:uid="{D30DECFF-D26B-4C2E-981A-4EB6F2FCA8D2}"/>
    <cellStyle name="Normal 5 4 3 2 3 4" xfId="10907" xr:uid="{06B89995-92E5-4594-9A4A-650658D03B33}"/>
    <cellStyle name="Normal 5 4 3 2 4" xfId="1727" xr:uid="{00000000-0005-0000-0000-0000E6060000}"/>
    <cellStyle name="Normal 5 4 3 2 4 2" xfId="3957" xr:uid="{00000000-0005-0000-0000-00009C0F0000}"/>
    <cellStyle name="Normal 5 4 3 2 4 2 2" xfId="8179" xr:uid="{00000000-0005-0000-0000-00001A200000}"/>
    <cellStyle name="Normal 5 4 3 2 4 2 2 2" xfId="17770" xr:uid="{0F44F575-511F-4B45-8A5A-CD4FA22FEE30}"/>
    <cellStyle name="Normal 5 4 3 2 4 2 3" xfId="13549" xr:uid="{92F4969E-225A-41EE-B125-A4C711CECB9D}"/>
    <cellStyle name="Normal 5 4 3 2 4 3" xfId="6034" xr:uid="{00000000-0005-0000-0000-0000B9170000}"/>
    <cellStyle name="Normal 5 4 3 2 4 3 2" xfId="15625" xr:uid="{566D186E-0F67-4D14-833A-83D70640ABA3}"/>
    <cellStyle name="Normal 5 4 3 2 4 4" xfId="11320" xr:uid="{13A2D42E-F075-440E-A07F-2E14F919A457}"/>
    <cellStyle name="Normal 5 4 3 2 5" xfId="2141" xr:uid="{00000000-0005-0000-0000-000084080000}"/>
    <cellStyle name="Normal 5 4 3 2 5 2" xfId="4370" xr:uid="{00000000-0005-0000-0000-000039110000}"/>
    <cellStyle name="Normal 5 4 3 2 5 2 2" xfId="8592" xr:uid="{00000000-0005-0000-0000-0000B7210000}"/>
    <cellStyle name="Normal 5 4 3 2 5 2 2 2" xfId="18183" xr:uid="{167923CA-1BA2-46D8-BAFF-7BF36D459FB5}"/>
    <cellStyle name="Normal 5 4 3 2 5 2 3" xfId="13962" xr:uid="{B0471182-4D72-48E1-AD40-C154AAD61DD7}"/>
    <cellStyle name="Normal 5 4 3 2 5 3" xfId="6447" xr:uid="{00000000-0005-0000-0000-000056190000}"/>
    <cellStyle name="Normal 5 4 3 2 5 3 2" xfId="16038" xr:uid="{E44868B3-5643-4498-A2F5-BF12931DF97D}"/>
    <cellStyle name="Normal 5 4 3 2 5 4" xfId="11733" xr:uid="{B5CED57F-ED1C-4EA8-AF64-89CC76FAB0A4}"/>
    <cellStyle name="Normal 5 4 3 2 6" xfId="2577" xr:uid="{00000000-0005-0000-0000-0000380A0000}"/>
    <cellStyle name="Normal 5 4 3 2 6 2" xfId="6860" xr:uid="{00000000-0005-0000-0000-0000F31A0000}"/>
    <cellStyle name="Normal 5 4 3 2 6 2 2" xfId="16451" xr:uid="{A15362D3-A0DF-4E3F-9443-1EC7E48698C7}"/>
    <cellStyle name="Normal 5 4 3 2 6 3" xfId="12169" xr:uid="{E53955FA-6DBE-41C9-B2D4-A55FDF2DFB21}"/>
    <cellStyle name="Normal 5 4 3 2 7" xfId="4795" xr:uid="{00000000-0005-0000-0000-0000E2120000}"/>
    <cellStyle name="Normal 5 4 3 2 7 2" xfId="14386" xr:uid="{9B91C3C8-0459-4E34-90B0-3F5243D6E8A6}"/>
    <cellStyle name="Normal 5 4 3 2 8" xfId="9044" xr:uid="{00000000-0005-0000-0000-00007B230000}"/>
    <cellStyle name="Normal 5 4 3 2 9" xfId="10024" xr:uid="{60222E0D-CA42-4DE7-B194-1624D5FFE5DB}"/>
    <cellStyle name="Normal 5 4 3 3" xfId="896" xr:uid="{00000000-0005-0000-0000-0000A7030000}"/>
    <cellStyle name="Normal 5 4 3 3 2" xfId="3130" xr:uid="{00000000-0005-0000-0000-0000610C0000}"/>
    <cellStyle name="Normal 5 4 3 3 2 2" xfId="7352" xr:uid="{00000000-0005-0000-0000-0000DF1C0000}"/>
    <cellStyle name="Normal 5 4 3 3 2 2 2" xfId="16943" xr:uid="{7BF9C751-2D3A-4201-875A-B244D07B54EB}"/>
    <cellStyle name="Normal 5 4 3 3 2 3" xfId="12722" xr:uid="{C36546D1-7D0D-4EB8-ABBF-ADD03F71D50E}"/>
    <cellStyle name="Normal 5 4 3 3 3" xfId="5207" xr:uid="{00000000-0005-0000-0000-00007E140000}"/>
    <cellStyle name="Normal 5 4 3 3 3 2" xfId="14798" xr:uid="{17B73EBD-6357-4E35-B3BB-621613B27288}"/>
    <cellStyle name="Normal 5 4 3 3 4" xfId="9262" xr:uid="{00000000-0005-0000-0000-000055240000}"/>
    <cellStyle name="Normal 5 4 3 3 5" xfId="10489" xr:uid="{05609FED-EE57-496A-9045-16940D3DE06F}"/>
    <cellStyle name="Normal 5 4 3 4" xfId="1313" xr:uid="{00000000-0005-0000-0000-000048050000}"/>
    <cellStyle name="Normal 5 4 3 4 2" xfId="3543" xr:uid="{00000000-0005-0000-0000-0000FE0D0000}"/>
    <cellStyle name="Normal 5 4 3 4 2 2" xfId="7765" xr:uid="{00000000-0005-0000-0000-00007C1E0000}"/>
    <cellStyle name="Normal 5 4 3 4 2 2 2" xfId="17356" xr:uid="{DBFC92C9-2C7A-48E9-A3E0-77D9269CD23A}"/>
    <cellStyle name="Normal 5 4 3 4 2 3" xfId="13135" xr:uid="{DA309681-2D2A-44F7-B872-ADD9CE52D3E2}"/>
    <cellStyle name="Normal 5 4 3 4 3" xfId="5620" xr:uid="{00000000-0005-0000-0000-00001B160000}"/>
    <cellStyle name="Normal 5 4 3 4 3 2" xfId="15211" xr:uid="{8EF83FA7-6DB7-4024-A0CA-AA6C7AEC2B81}"/>
    <cellStyle name="Normal 5 4 3 4 4" xfId="10906" xr:uid="{E9481070-5D92-48FE-9462-1C9270A34311}"/>
    <cellStyle name="Normal 5 4 3 5" xfId="1726" xr:uid="{00000000-0005-0000-0000-0000E5060000}"/>
    <cellStyle name="Normal 5 4 3 5 2" xfId="3956" xr:uid="{00000000-0005-0000-0000-00009B0F0000}"/>
    <cellStyle name="Normal 5 4 3 5 2 2" xfId="8178" xr:uid="{00000000-0005-0000-0000-000019200000}"/>
    <cellStyle name="Normal 5 4 3 5 2 2 2" xfId="17769" xr:uid="{C14505DA-2FEA-4571-8453-E1AE9E116F50}"/>
    <cellStyle name="Normal 5 4 3 5 2 3" xfId="13548" xr:uid="{3AA2199A-0284-459C-8FB5-426C69EA8B63}"/>
    <cellStyle name="Normal 5 4 3 5 3" xfId="6033" xr:uid="{00000000-0005-0000-0000-0000B8170000}"/>
    <cellStyle name="Normal 5 4 3 5 3 2" xfId="15624" xr:uid="{FD63F458-4EAC-49EB-8E35-84351F126391}"/>
    <cellStyle name="Normal 5 4 3 5 4" xfId="11319" xr:uid="{2BCBD420-13C2-4F30-AD05-BE647C8D1221}"/>
    <cellStyle name="Normal 5 4 3 6" xfId="2140" xr:uid="{00000000-0005-0000-0000-000083080000}"/>
    <cellStyle name="Normal 5 4 3 6 2" xfId="4369" xr:uid="{00000000-0005-0000-0000-000038110000}"/>
    <cellStyle name="Normal 5 4 3 6 2 2" xfId="8591" xr:uid="{00000000-0005-0000-0000-0000B6210000}"/>
    <cellStyle name="Normal 5 4 3 6 2 2 2" xfId="18182" xr:uid="{44F49152-8BA2-406A-8025-FABDAF8D1686}"/>
    <cellStyle name="Normal 5 4 3 6 2 3" xfId="13961" xr:uid="{32B2541E-D498-4632-BE4C-5EA12D703BB6}"/>
    <cellStyle name="Normal 5 4 3 6 3" xfId="6446" xr:uid="{00000000-0005-0000-0000-000055190000}"/>
    <cellStyle name="Normal 5 4 3 6 3 2" xfId="16037" xr:uid="{8169D25A-947E-4167-B88A-509D3FE3F88F}"/>
    <cellStyle name="Normal 5 4 3 6 4" xfId="11732" xr:uid="{F76B6127-17CF-40DA-A09B-094D4E5396E7}"/>
    <cellStyle name="Normal 5 4 3 7" xfId="2576" xr:uid="{00000000-0005-0000-0000-0000370A0000}"/>
    <cellStyle name="Normal 5 4 3 7 2" xfId="6859" xr:uid="{00000000-0005-0000-0000-0000F21A0000}"/>
    <cellStyle name="Normal 5 4 3 7 2 2" xfId="16450" xr:uid="{8503486C-D716-4CED-A1A2-0E9615BD7844}"/>
    <cellStyle name="Normal 5 4 3 7 3" xfId="12168" xr:uid="{A7E3F9B4-8902-4753-8E9A-19C720F14270}"/>
    <cellStyle name="Normal 5 4 3 8" xfId="4794" xr:uid="{00000000-0005-0000-0000-0000E1120000}"/>
    <cellStyle name="Normal 5 4 3 8 2" xfId="14385" xr:uid="{A5DEEF66-CE7E-49F0-9668-37B0DC8B1D26}"/>
    <cellStyle name="Normal 5 4 3 9" xfId="8837" xr:uid="{00000000-0005-0000-0000-0000AC220000}"/>
    <cellStyle name="Normal 5 4 4" xfId="427" xr:uid="{00000000-0005-0000-0000-0000CF010000}"/>
    <cellStyle name="Normal 5 4 4 2" xfId="898" xr:uid="{00000000-0005-0000-0000-0000A9030000}"/>
    <cellStyle name="Normal 5 4 4 2 2" xfId="3132" xr:uid="{00000000-0005-0000-0000-0000630C0000}"/>
    <cellStyle name="Normal 5 4 4 2 2 2" xfId="7354" xr:uid="{00000000-0005-0000-0000-0000E11C0000}"/>
    <cellStyle name="Normal 5 4 4 2 2 2 2" xfId="16945" xr:uid="{86F29DDE-838A-4F3D-8812-4D89E54DFA51}"/>
    <cellStyle name="Normal 5 4 4 2 2 3" xfId="12724" xr:uid="{B0DD58F9-C56E-40F0-9F62-8C8E0972BC87}"/>
    <cellStyle name="Normal 5 4 4 2 3" xfId="5209" xr:uid="{00000000-0005-0000-0000-000080140000}"/>
    <cellStyle name="Normal 5 4 4 2 3 2" xfId="14800" xr:uid="{7986E3EC-3B71-42C8-9345-F72C7F4E8AF6}"/>
    <cellStyle name="Normal 5 4 4 2 4" xfId="9366" xr:uid="{00000000-0005-0000-0000-0000BD240000}"/>
    <cellStyle name="Normal 5 4 4 2 5" xfId="10491" xr:uid="{9B8B1F87-AE2A-40F8-AB8C-E73CCD0E5491}"/>
    <cellStyle name="Normal 5 4 4 3" xfId="1315" xr:uid="{00000000-0005-0000-0000-00004A050000}"/>
    <cellStyle name="Normal 5 4 4 3 2" xfId="3545" xr:uid="{00000000-0005-0000-0000-0000000E0000}"/>
    <cellStyle name="Normal 5 4 4 3 2 2" xfId="7767" xr:uid="{00000000-0005-0000-0000-00007E1E0000}"/>
    <cellStyle name="Normal 5 4 4 3 2 2 2" xfId="17358" xr:uid="{EC80C3CF-E4A1-411E-B685-08C51829EDA3}"/>
    <cellStyle name="Normal 5 4 4 3 2 3" xfId="13137" xr:uid="{4ECE09D2-0B50-4CCE-8DD0-C3F662C7F6E3}"/>
    <cellStyle name="Normal 5 4 4 3 3" xfId="5622" xr:uid="{00000000-0005-0000-0000-00001D160000}"/>
    <cellStyle name="Normal 5 4 4 3 3 2" xfId="15213" xr:uid="{57983704-ECF5-451C-ACF7-F40F7B9F742A}"/>
    <cellStyle name="Normal 5 4 4 3 4" xfId="10908" xr:uid="{AC2A28E0-B5FE-4879-891D-62BCD7295E40}"/>
    <cellStyle name="Normal 5 4 4 4" xfId="1728" xr:uid="{00000000-0005-0000-0000-0000E7060000}"/>
    <cellStyle name="Normal 5 4 4 4 2" xfId="3958" xr:uid="{00000000-0005-0000-0000-00009D0F0000}"/>
    <cellStyle name="Normal 5 4 4 4 2 2" xfId="8180" xr:uid="{00000000-0005-0000-0000-00001B200000}"/>
    <cellStyle name="Normal 5 4 4 4 2 2 2" xfId="17771" xr:uid="{C3822EFF-677B-47D1-BBFB-8718A622FA64}"/>
    <cellStyle name="Normal 5 4 4 4 2 3" xfId="13550" xr:uid="{7B153B38-E77D-4211-863B-625BA25F2490}"/>
    <cellStyle name="Normal 5 4 4 4 3" xfId="6035" xr:uid="{00000000-0005-0000-0000-0000BA170000}"/>
    <cellStyle name="Normal 5 4 4 4 3 2" xfId="15626" xr:uid="{2877A8F6-EF81-48B1-B634-AC2B6FFCA8EF}"/>
    <cellStyle name="Normal 5 4 4 4 4" xfId="11321" xr:uid="{2DC6C0DA-010F-4100-AF83-D63FC8BAE834}"/>
    <cellStyle name="Normal 5 4 4 5" xfId="2142" xr:uid="{00000000-0005-0000-0000-000085080000}"/>
    <cellStyle name="Normal 5 4 4 5 2" xfId="4371" xr:uid="{00000000-0005-0000-0000-00003A110000}"/>
    <cellStyle name="Normal 5 4 4 5 2 2" xfId="8593" xr:uid="{00000000-0005-0000-0000-0000B8210000}"/>
    <cellStyle name="Normal 5 4 4 5 2 2 2" xfId="18184" xr:uid="{FC36EC65-2BB2-4766-906C-261F0131EC67}"/>
    <cellStyle name="Normal 5 4 4 5 2 3" xfId="13963" xr:uid="{9169EF06-D446-4153-8A6C-98E76922BF6A}"/>
    <cellStyle name="Normal 5 4 4 5 3" xfId="6448" xr:uid="{00000000-0005-0000-0000-000057190000}"/>
    <cellStyle name="Normal 5 4 4 5 3 2" xfId="16039" xr:uid="{E43F2D5E-0D1A-4ADD-A27B-62E2FE3302E9}"/>
    <cellStyle name="Normal 5 4 4 5 4" xfId="11734" xr:uid="{7B260C16-711C-458D-A9C0-B6E1394F5144}"/>
    <cellStyle name="Normal 5 4 4 6" xfId="2578" xr:uid="{00000000-0005-0000-0000-0000390A0000}"/>
    <cellStyle name="Normal 5 4 4 6 2" xfId="6861" xr:uid="{00000000-0005-0000-0000-0000F41A0000}"/>
    <cellStyle name="Normal 5 4 4 6 2 2" xfId="16452" xr:uid="{4FC0C29F-1D74-4CE0-82AA-A16187589820}"/>
    <cellStyle name="Normal 5 4 4 6 3" xfId="12170" xr:uid="{551E0A25-70F9-4699-A314-2FBC8E51B2A7}"/>
    <cellStyle name="Normal 5 4 4 7" xfId="4796" xr:uid="{00000000-0005-0000-0000-0000E3120000}"/>
    <cellStyle name="Normal 5 4 4 7 2" xfId="14387" xr:uid="{AEBB8BC0-1983-42D2-806E-5FCB9E26A70D}"/>
    <cellStyle name="Normal 5 4 4 8" xfId="8941" xr:uid="{00000000-0005-0000-0000-000014230000}"/>
    <cellStyle name="Normal 5 4 4 9" xfId="10025" xr:uid="{D124A793-4314-4774-A392-4C61A3C4DD2C}"/>
    <cellStyle name="Normal 5 4 5" xfId="891" xr:uid="{00000000-0005-0000-0000-0000A2030000}"/>
    <cellStyle name="Normal 5 4 5 2" xfId="3125" xr:uid="{00000000-0005-0000-0000-00005C0C0000}"/>
    <cellStyle name="Normal 5 4 5 2 2" xfId="7347" xr:uid="{00000000-0005-0000-0000-0000DA1C0000}"/>
    <cellStyle name="Normal 5 4 5 2 2 2" xfId="16938" xr:uid="{8C6582D1-988E-427E-9DA5-A60FFE9D885D}"/>
    <cellStyle name="Normal 5 4 5 2 3" xfId="12717" xr:uid="{08D41048-A8AF-4F38-813F-B5B70D155D2A}"/>
    <cellStyle name="Normal 5 4 5 3" xfId="5202" xr:uid="{00000000-0005-0000-0000-000079140000}"/>
    <cellStyle name="Normal 5 4 5 3 2" xfId="14793" xr:uid="{4AB6E568-3BC9-4340-AA9B-F4FCED9D593F}"/>
    <cellStyle name="Normal 5 4 5 4" xfId="9158" xr:uid="{00000000-0005-0000-0000-0000ED230000}"/>
    <cellStyle name="Normal 5 4 5 5" xfId="10484" xr:uid="{11A33602-35AB-445E-9EA7-F7F229D44B17}"/>
    <cellStyle name="Normal 5 4 6" xfId="1308" xr:uid="{00000000-0005-0000-0000-000043050000}"/>
    <cellStyle name="Normal 5 4 6 2" xfId="3538" xr:uid="{00000000-0005-0000-0000-0000F90D0000}"/>
    <cellStyle name="Normal 5 4 6 2 2" xfId="7760" xr:uid="{00000000-0005-0000-0000-0000771E0000}"/>
    <cellStyle name="Normal 5 4 6 2 2 2" xfId="17351" xr:uid="{AB5F4724-99E0-4DC9-890D-AF5D8619F784}"/>
    <cellStyle name="Normal 5 4 6 2 3" xfId="13130" xr:uid="{30F5545D-232C-4CFD-A961-05D4ACA59462}"/>
    <cellStyle name="Normal 5 4 6 3" xfId="5615" xr:uid="{00000000-0005-0000-0000-000016160000}"/>
    <cellStyle name="Normal 5 4 6 3 2" xfId="15206" xr:uid="{977E7A14-E1A8-45EE-8A32-230C01CB3F40}"/>
    <cellStyle name="Normal 5 4 6 4" xfId="10901" xr:uid="{B05E3771-5A1E-4681-A035-F215EAFF0502}"/>
    <cellStyle name="Normal 5 4 7" xfId="1721" xr:uid="{00000000-0005-0000-0000-0000E0060000}"/>
    <cellStyle name="Normal 5 4 7 2" xfId="3951" xr:uid="{00000000-0005-0000-0000-0000960F0000}"/>
    <cellStyle name="Normal 5 4 7 2 2" xfId="8173" xr:uid="{00000000-0005-0000-0000-000014200000}"/>
    <cellStyle name="Normal 5 4 7 2 2 2" xfId="17764" xr:uid="{C6970FC9-B68A-48D9-8198-346318C8085A}"/>
    <cellStyle name="Normal 5 4 7 2 3" xfId="13543" xr:uid="{1756F7C8-EEC4-47C6-B3B2-32562BD23FCF}"/>
    <cellStyle name="Normal 5 4 7 3" xfId="6028" xr:uid="{00000000-0005-0000-0000-0000B3170000}"/>
    <cellStyle name="Normal 5 4 7 3 2" xfId="15619" xr:uid="{3B870284-D40D-48CE-8384-799327FB2864}"/>
    <cellStyle name="Normal 5 4 7 4" xfId="11314" xr:uid="{0BF859A1-D63F-476B-BCF7-3D9C60938931}"/>
    <cellStyle name="Normal 5 4 8" xfId="2135" xr:uid="{00000000-0005-0000-0000-00007E080000}"/>
    <cellStyle name="Normal 5 4 8 2" xfId="4364" xr:uid="{00000000-0005-0000-0000-000033110000}"/>
    <cellStyle name="Normal 5 4 8 2 2" xfId="8586" xr:uid="{00000000-0005-0000-0000-0000B1210000}"/>
    <cellStyle name="Normal 5 4 8 2 2 2" xfId="18177" xr:uid="{85661732-1380-44BD-A0F7-E95D49958B0F}"/>
    <cellStyle name="Normal 5 4 8 2 3" xfId="13956" xr:uid="{073426E3-F38B-44AA-AFA9-3BC1A92BF571}"/>
    <cellStyle name="Normal 5 4 8 3" xfId="6441" xr:uid="{00000000-0005-0000-0000-000050190000}"/>
    <cellStyle name="Normal 5 4 8 3 2" xfId="16032" xr:uid="{D633D94C-E910-422F-BFC9-4BBC665954FE}"/>
    <cellStyle name="Normal 5 4 8 4" xfId="11727" xr:uid="{1E2FE413-F93F-4BD5-87B4-4D8612886096}"/>
    <cellStyle name="Normal 5 4 9" xfId="2571" xr:uid="{00000000-0005-0000-0000-0000320A0000}"/>
    <cellStyle name="Normal 5 4 9 2" xfId="6854" xr:uid="{00000000-0005-0000-0000-0000ED1A0000}"/>
    <cellStyle name="Normal 5 4 9 2 2" xfId="16445" xr:uid="{2078A009-2DBC-43A5-A189-7AF9EB93D883}"/>
    <cellStyle name="Normal 5 4 9 3" xfId="12163" xr:uid="{6256C031-992F-4086-858D-46B1A2F851A8}"/>
    <cellStyle name="Normal 5 5" xfId="428" xr:uid="{00000000-0005-0000-0000-0000D0010000}"/>
    <cellStyle name="Normal 5 5 10" xfId="8787" xr:uid="{00000000-0005-0000-0000-00007A220000}"/>
    <cellStyle name="Normal 5 5 11" xfId="10026" xr:uid="{A681DBB6-04F7-4A06-ADCB-529ED344265B}"/>
    <cellStyle name="Normal 5 5 2" xfId="429" xr:uid="{00000000-0005-0000-0000-0000D1010000}"/>
    <cellStyle name="Normal 5 5 2 10" xfId="10027" xr:uid="{EDC79C4C-758F-4880-A107-AD7E0BBA7848}"/>
    <cellStyle name="Normal 5 5 2 2" xfId="430" xr:uid="{00000000-0005-0000-0000-0000D2010000}"/>
    <cellStyle name="Normal 5 5 2 2 2" xfId="901" xr:uid="{00000000-0005-0000-0000-0000AC030000}"/>
    <cellStyle name="Normal 5 5 2 2 2 2" xfId="3135" xr:uid="{00000000-0005-0000-0000-0000660C0000}"/>
    <cellStyle name="Normal 5 5 2 2 2 2 2" xfId="7357" xr:uid="{00000000-0005-0000-0000-0000E41C0000}"/>
    <cellStyle name="Normal 5 5 2 2 2 2 2 2" xfId="16948" xr:uid="{7ED53486-81B4-48E8-99FB-F30325AC6694}"/>
    <cellStyle name="Normal 5 5 2 2 2 2 3" xfId="12727" xr:uid="{02A4D302-5BCB-4DAA-8E91-AE78241A3045}"/>
    <cellStyle name="Normal 5 5 2 2 2 3" xfId="5212" xr:uid="{00000000-0005-0000-0000-000083140000}"/>
    <cellStyle name="Normal 5 5 2 2 2 3 2" xfId="14803" xr:uid="{7185223B-164A-47A3-97D1-F2BA5CC805F5}"/>
    <cellStyle name="Normal 5 5 2 2 2 4" xfId="9522" xr:uid="{00000000-0005-0000-0000-000059250000}"/>
    <cellStyle name="Normal 5 5 2 2 2 5" xfId="10494" xr:uid="{D743CDA1-3D78-457C-B63B-AD101BE6E339}"/>
    <cellStyle name="Normal 5 5 2 2 3" xfId="1318" xr:uid="{00000000-0005-0000-0000-00004D050000}"/>
    <cellStyle name="Normal 5 5 2 2 3 2" xfId="3548" xr:uid="{00000000-0005-0000-0000-0000030E0000}"/>
    <cellStyle name="Normal 5 5 2 2 3 2 2" xfId="7770" xr:uid="{00000000-0005-0000-0000-0000811E0000}"/>
    <cellStyle name="Normal 5 5 2 2 3 2 2 2" xfId="17361" xr:uid="{0A035F6C-9825-43EC-A868-4554604E280F}"/>
    <cellStyle name="Normal 5 5 2 2 3 2 3" xfId="13140" xr:uid="{1307A43B-F4FA-40C4-AD38-E954D8796982}"/>
    <cellStyle name="Normal 5 5 2 2 3 3" xfId="5625" xr:uid="{00000000-0005-0000-0000-000020160000}"/>
    <cellStyle name="Normal 5 5 2 2 3 3 2" xfId="15216" xr:uid="{9CCBF7FA-9ADD-4D22-9E9C-8DD11FD1819C}"/>
    <cellStyle name="Normal 5 5 2 2 3 4" xfId="10911" xr:uid="{F5CCA14B-1A91-4F92-A3A0-5455C3DB6447}"/>
    <cellStyle name="Normal 5 5 2 2 4" xfId="1731" xr:uid="{00000000-0005-0000-0000-0000EA060000}"/>
    <cellStyle name="Normal 5 5 2 2 4 2" xfId="3961" xr:uid="{00000000-0005-0000-0000-0000A00F0000}"/>
    <cellStyle name="Normal 5 5 2 2 4 2 2" xfId="8183" xr:uid="{00000000-0005-0000-0000-00001E200000}"/>
    <cellStyle name="Normal 5 5 2 2 4 2 2 2" xfId="17774" xr:uid="{0302D311-0178-464F-BF32-EEE69D5A3C67}"/>
    <cellStyle name="Normal 5 5 2 2 4 2 3" xfId="13553" xr:uid="{E3C4A6A7-56C3-46A9-9BD9-E6EB325E7ABD}"/>
    <cellStyle name="Normal 5 5 2 2 4 3" xfId="6038" xr:uid="{00000000-0005-0000-0000-0000BD170000}"/>
    <cellStyle name="Normal 5 5 2 2 4 3 2" xfId="15629" xr:uid="{7EC82531-28BD-4043-9B89-810154DC2129}"/>
    <cellStyle name="Normal 5 5 2 2 4 4" xfId="11324" xr:uid="{4133C822-BDCA-4D71-A8F2-C41DE5DF3416}"/>
    <cellStyle name="Normal 5 5 2 2 5" xfId="2145" xr:uid="{00000000-0005-0000-0000-000088080000}"/>
    <cellStyle name="Normal 5 5 2 2 5 2" xfId="4374" xr:uid="{00000000-0005-0000-0000-00003D110000}"/>
    <cellStyle name="Normal 5 5 2 2 5 2 2" xfId="8596" xr:uid="{00000000-0005-0000-0000-0000BB210000}"/>
    <cellStyle name="Normal 5 5 2 2 5 2 2 2" xfId="18187" xr:uid="{2D494433-C9F3-4C39-8442-ADAA61B8F8C6}"/>
    <cellStyle name="Normal 5 5 2 2 5 2 3" xfId="13966" xr:uid="{198E1097-3AA8-4783-A08B-CC3ADE700099}"/>
    <cellStyle name="Normal 5 5 2 2 5 3" xfId="6451" xr:uid="{00000000-0005-0000-0000-00005A190000}"/>
    <cellStyle name="Normal 5 5 2 2 5 3 2" xfId="16042" xr:uid="{BB7B25A6-9D10-420E-8736-885C5F5E29D6}"/>
    <cellStyle name="Normal 5 5 2 2 5 4" xfId="11737" xr:uid="{6345B228-C34B-4554-A40E-C651FE4C38BE}"/>
    <cellStyle name="Normal 5 5 2 2 6" xfId="2581" xr:uid="{00000000-0005-0000-0000-00003C0A0000}"/>
    <cellStyle name="Normal 5 5 2 2 6 2" xfId="6864" xr:uid="{00000000-0005-0000-0000-0000F71A0000}"/>
    <cellStyle name="Normal 5 5 2 2 6 2 2" xfId="16455" xr:uid="{6E0FB1C7-58DD-423A-9597-39925CF1799E}"/>
    <cellStyle name="Normal 5 5 2 2 6 3" xfId="12173" xr:uid="{CA751678-99C4-4042-8EB4-CD93B2D5F9CC}"/>
    <cellStyle name="Normal 5 5 2 2 7" xfId="4799" xr:uid="{00000000-0005-0000-0000-0000E6120000}"/>
    <cellStyle name="Normal 5 5 2 2 7 2" xfId="14390" xr:uid="{F46B7800-30C5-4FD2-8E96-12A06C4D9A21}"/>
    <cellStyle name="Normal 5 5 2 2 8" xfId="9097" xr:uid="{00000000-0005-0000-0000-0000B0230000}"/>
    <cellStyle name="Normal 5 5 2 2 9" xfId="10028" xr:uid="{E28C26A4-BAF2-45CC-AD16-62311DEAC168}"/>
    <cellStyle name="Normal 5 5 2 3" xfId="900" xr:uid="{00000000-0005-0000-0000-0000AB030000}"/>
    <cellStyle name="Normal 5 5 2 3 2" xfId="3134" xr:uid="{00000000-0005-0000-0000-0000650C0000}"/>
    <cellStyle name="Normal 5 5 2 3 2 2" xfId="7356" xr:uid="{00000000-0005-0000-0000-0000E31C0000}"/>
    <cellStyle name="Normal 5 5 2 3 2 2 2" xfId="16947" xr:uid="{1836B5AD-6A81-4D14-AF15-B0A9D9773789}"/>
    <cellStyle name="Normal 5 5 2 3 2 3" xfId="12726" xr:uid="{038C1505-373E-4BA2-A2D9-34923C9440A6}"/>
    <cellStyle name="Normal 5 5 2 3 3" xfId="5211" xr:uid="{00000000-0005-0000-0000-000082140000}"/>
    <cellStyle name="Normal 5 5 2 3 3 2" xfId="14802" xr:uid="{D94DBBE3-E45F-4FEC-AAD5-472F154AA515}"/>
    <cellStyle name="Normal 5 5 2 3 4" xfId="9315" xr:uid="{00000000-0005-0000-0000-00008A240000}"/>
    <cellStyle name="Normal 5 5 2 3 5" xfId="10493" xr:uid="{2408E7FC-47D0-472E-B845-5A7E9F9F2E5F}"/>
    <cellStyle name="Normal 5 5 2 4" xfId="1317" xr:uid="{00000000-0005-0000-0000-00004C050000}"/>
    <cellStyle name="Normal 5 5 2 4 2" xfId="3547" xr:uid="{00000000-0005-0000-0000-0000020E0000}"/>
    <cellStyle name="Normal 5 5 2 4 2 2" xfId="7769" xr:uid="{00000000-0005-0000-0000-0000801E0000}"/>
    <cellStyle name="Normal 5 5 2 4 2 2 2" xfId="17360" xr:uid="{C63FBF39-4DE0-4B79-8321-7A90AD2640B9}"/>
    <cellStyle name="Normal 5 5 2 4 2 3" xfId="13139" xr:uid="{2EC48DAB-3EF5-437E-84CB-F1EB4CDE8DFA}"/>
    <cellStyle name="Normal 5 5 2 4 3" xfId="5624" xr:uid="{00000000-0005-0000-0000-00001F160000}"/>
    <cellStyle name="Normal 5 5 2 4 3 2" xfId="15215" xr:uid="{128EA9EE-D92D-4875-A86D-B29DE3DC454A}"/>
    <cellStyle name="Normal 5 5 2 4 4" xfId="10910" xr:uid="{209E1D75-2F85-4C1A-AE6D-A3EE06058A8B}"/>
    <cellStyle name="Normal 5 5 2 5" xfId="1730" xr:uid="{00000000-0005-0000-0000-0000E9060000}"/>
    <cellStyle name="Normal 5 5 2 5 2" xfId="3960" xr:uid="{00000000-0005-0000-0000-00009F0F0000}"/>
    <cellStyle name="Normal 5 5 2 5 2 2" xfId="8182" xr:uid="{00000000-0005-0000-0000-00001D200000}"/>
    <cellStyle name="Normal 5 5 2 5 2 2 2" xfId="17773" xr:uid="{98B21867-3FF9-4A33-A755-8125E831AEFB}"/>
    <cellStyle name="Normal 5 5 2 5 2 3" xfId="13552" xr:uid="{A5EA04B8-123F-4B6A-BD12-6A90BDE6BB39}"/>
    <cellStyle name="Normal 5 5 2 5 3" xfId="6037" xr:uid="{00000000-0005-0000-0000-0000BC170000}"/>
    <cellStyle name="Normal 5 5 2 5 3 2" xfId="15628" xr:uid="{4D6FCD38-62D3-4876-8640-E851246B50BE}"/>
    <cellStyle name="Normal 5 5 2 5 4" xfId="11323" xr:uid="{67DCE02E-794E-451A-9582-9EFDA789B1D2}"/>
    <cellStyle name="Normal 5 5 2 6" xfId="2144" xr:uid="{00000000-0005-0000-0000-000087080000}"/>
    <cellStyle name="Normal 5 5 2 6 2" xfId="4373" xr:uid="{00000000-0005-0000-0000-00003C110000}"/>
    <cellStyle name="Normal 5 5 2 6 2 2" xfId="8595" xr:uid="{00000000-0005-0000-0000-0000BA210000}"/>
    <cellStyle name="Normal 5 5 2 6 2 2 2" xfId="18186" xr:uid="{B357623A-1DA3-4EC5-8382-3D7329FC6C24}"/>
    <cellStyle name="Normal 5 5 2 6 2 3" xfId="13965" xr:uid="{7D9D719E-C5A9-441B-AC61-5669E19B9666}"/>
    <cellStyle name="Normal 5 5 2 6 3" xfId="6450" xr:uid="{00000000-0005-0000-0000-000059190000}"/>
    <cellStyle name="Normal 5 5 2 6 3 2" xfId="16041" xr:uid="{67B6B85D-C3A5-4251-B3ED-537A6CFC9B1D}"/>
    <cellStyle name="Normal 5 5 2 6 4" xfId="11736" xr:uid="{43F98159-5DE0-4477-A776-15D8C0147C54}"/>
    <cellStyle name="Normal 5 5 2 7" xfId="2580" xr:uid="{00000000-0005-0000-0000-00003B0A0000}"/>
    <cellStyle name="Normal 5 5 2 7 2" xfId="6863" xr:uid="{00000000-0005-0000-0000-0000F61A0000}"/>
    <cellStyle name="Normal 5 5 2 7 2 2" xfId="16454" xr:uid="{D8984F7E-8BF9-4D72-9280-AA0DE57C1A6D}"/>
    <cellStyle name="Normal 5 5 2 7 3" xfId="12172" xr:uid="{4791710C-2F5F-4724-8638-C0AF44271152}"/>
    <cellStyle name="Normal 5 5 2 8" xfId="4798" xr:uid="{00000000-0005-0000-0000-0000E5120000}"/>
    <cellStyle name="Normal 5 5 2 8 2" xfId="14389" xr:uid="{D0D843C3-8A8D-4957-854B-494BDD06C235}"/>
    <cellStyle name="Normal 5 5 2 9" xfId="8890" xr:uid="{00000000-0005-0000-0000-0000E1220000}"/>
    <cellStyle name="Normal 5 5 3" xfId="431" xr:uid="{00000000-0005-0000-0000-0000D3010000}"/>
    <cellStyle name="Normal 5 5 3 2" xfId="902" xr:uid="{00000000-0005-0000-0000-0000AD030000}"/>
    <cellStyle name="Normal 5 5 3 2 2" xfId="3136" xr:uid="{00000000-0005-0000-0000-0000670C0000}"/>
    <cellStyle name="Normal 5 5 3 2 2 2" xfId="7358" xr:uid="{00000000-0005-0000-0000-0000E51C0000}"/>
    <cellStyle name="Normal 5 5 3 2 2 2 2" xfId="16949" xr:uid="{4830519C-765E-4ED9-ADD6-60316C8284D2}"/>
    <cellStyle name="Normal 5 5 3 2 2 3" xfId="12728" xr:uid="{AB72D39E-E557-4ED8-B034-601C6EB16EAD}"/>
    <cellStyle name="Normal 5 5 3 2 3" xfId="5213" xr:uid="{00000000-0005-0000-0000-000084140000}"/>
    <cellStyle name="Normal 5 5 3 2 3 2" xfId="14804" xr:uid="{6439778A-7DC4-4005-B774-7E5640416DAD}"/>
    <cellStyle name="Normal 5 5 3 2 4" xfId="9419" xr:uid="{00000000-0005-0000-0000-0000F2240000}"/>
    <cellStyle name="Normal 5 5 3 2 5" xfId="10495" xr:uid="{9B1F4229-B665-47DD-83B7-9E67D1226547}"/>
    <cellStyle name="Normal 5 5 3 3" xfId="1319" xr:uid="{00000000-0005-0000-0000-00004E050000}"/>
    <cellStyle name="Normal 5 5 3 3 2" xfId="3549" xr:uid="{00000000-0005-0000-0000-0000040E0000}"/>
    <cellStyle name="Normal 5 5 3 3 2 2" xfId="7771" xr:uid="{00000000-0005-0000-0000-0000821E0000}"/>
    <cellStyle name="Normal 5 5 3 3 2 2 2" xfId="17362" xr:uid="{CB65F155-59D7-4FD5-B8C4-AB3CDA82E1A0}"/>
    <cellStyle name="Normal 5 5 3 3 2 3" xfId="13141" xr:uid="{CE90B00F-A5D7-451E-9233-2BBC4F190A11}"/>
    <cellStyle name="Normal 5 5 3 3 3" xfId="5626" xr:uid="{00000000-0005-0000-0000-000021160000}"/>
    <cellStyle name="Normal 5 5 3 3 3 2" xfId="15217" xr:uid="{A1546850-1AE7-443B-82DC-559E5C2BE3FE}"/>
    <cellStyle name="Normal 5 5 3 3 4" xfId="10912" xr:uid="{E4A286B1-655A-48D9-9A41-F389BC0898C2}"/>
    <cellStyle name="Normal 5 5 3 4" xfId="1732" xr:uid="{00000000-0005-0000-0000-0000EB060000}"/>
    <cellStyle name="Normal 5 5 3 4 2" xfId="3962" xr:uid="{00000000-0005-0000-0000-0000A10F0000}"/>
    <cellStyle name="Normal 5 5 3 4 2 2" xfId="8184" xr:uid="{00000000-0005-0000-0000-00001F200000}"/>
    <cellStyle name="Normal 5 5 3 4 2 2 2" xfId="17775" xr:uid="{610FD5F1-9668-4C96-B52E-F16D58B62D69}"/>
    <cellStyle name="Normal 5 5 3 4 2 3" xfId="13554" xr:uid="{82D228EA-746E-452D-A072-EB07E67EB692}"/>
    <cellStyle name="Normal 5 5 3 4 3" xfId="6039" xr:uid="{00000000-0005-0000-0000-0000BE170000}"/>
    <cellStyle name="Normal 5 5 3 4 3 2" xfId="15630" xr:uid="{0C6227C5-989A-42C7-8888-029A09B77254}"/>
    <cellStyle name="Normal 5 5 3 4 4" xfId="11325" xr:uid="{279939F5-9F5A-40BE-8006-DF19E886C68F}"/>
    <cellStyle name="Normal 5 5 3 5" xfId="2146" xr:uid="{00000000-0005-0000-0000-000089080000}"/>
    <cellStyle name="Normal 5 5 3 5 2" xfId="4375" xr:uid="{00000000-0005-0000-0000-00003E110000}"/>
    <cellStyle name="Normal 5 5 3 5 2 2" xfId="8597" xr:uid="{00000000-0005-0000-0000-0000BC210000}"/>
    <cellStyle name="Normal 5 5 3 5 2 2 2" xfId="18188" xr:uid="{E57F9000-8A55-45B5-A3CF-06ADC3FD8B6D}"/>
    <cellStyle name="Normal 5 5 3 5 2 3" xfId="13967" xr:uid="{236B9115-941B-4FD1-BEB0-CBB04A4C8306}"/>
    <cellStyle name="Normal 5 5 3 5 3" xfId="6452" xr:uid="{00000000-0005-0000-0000-00005B190000}"/>
    <cellStyle name="Normal 5 5 3 5 3 2" xfId="16043" xr:uid="{94562296-9C96-469B-ABA0-A2F8BA38A521}"/>
    <cellStyle name="Normal 5 5 3 5 4" xfId="11738" xr:uid="{BD05C53E-47D5-41B9-B99B-4160AD21E337}"/>
    <cellStyle name="Normal 5 5 3 6" xfId="2582" xr:uid="{00000000-0005-0000-0000-00003D0A0000}"/>
    <cellStyle name="Normal 5 5 3 6 2" xfId="6865" xr:uid="{00000000-0005-0000-0000-0000F81A0000}"/>
    <cellStyle name="Normal 5 5 3 6 2 2" xfId="16456" xr:uid="{921804ED-4CDF-4B8F-9C0B-7D2173F88260}"/>
    <cellStyle name="Normal 5 5 3 6 3" xfId="12174" xr:uid="{7080D919-5CD7-410F-828D-078F6BE0A0A6}"/>
    <cellStyle name="Normal 5 5 3 7" xfId="4800" xr:uid="{00000000-0005-0000-0000-0000E7120000}"/>
    <cellStyle name="Normal 5 5 3 7 2" xfId="14391" xr:uid="{B32E6ADF-B5D6-4794-8171-5811FF46847E}"/>
    <cellStyle name="Normal 5 5 3 8" xfId="8994" xr:uid="{00000000-0005-0000-0000-000049230000}"/>
    <cellStyle name="Normal 5 5 3 9" xfId="10029" xr:uid="{51E72761-B16E-4843-9951-69216FF5BDD9}"/>
    <cellStyle name="Normal 5 5 4" xfId="899" xr:uid="{00000000-0005-0000-0000-0000AA030000}"/>
    <cellStyle name="Normal 5 5 4 2" xfId="3133" xr:uid="{00000000-0005-0000-0000-0000640C0000}"/>
    <cellStyle name="Normal 5 5 4 2 2" xfId="7355" xr:uid="{00000000-0005-0000-0000-0000E21C0000}"/>
    <cellStyle name="Normal 5 5 4 2 2 2" xfId="16946" xr:uid="{0C99C0E3-8574-408D-BD10-F65577CD4897}"/>
    <cellStyle name="Normal 5 5 4 2 3" xfId="12725" xr:uid="{322220BA-646E-4D7B-ABED-F1D39FBE10A0}"/>
    <cellStyle name="Normal 5 5 4 3" xfId="5210" xr:uid="{00000000-0005-0000-0000-000081140000}"/>
    <cellStyle name="Normal 5 5 4 3 2" xfId="14801" xr:uid="{F6902E53-1D22-4489-B16E-C3DBA9708D39}"/>
    <cellStyle name="Normal 5 5 4 4" xfId="9212" xr:uid="{00000000-0005-0000-0000-000023240000}"/>
    <cellStyle name="Normal 5 5 4 5" xfId="10492" xr:uid="{9DFFF05F-4B18-4CC0-A092-B1535A8D5484}"/>
    <cellStyle name="Normal 5 5 5" xfId="1316" xr:uid="{00000000-0005-0000-0000-00004B050000}"/>
    <cellStyle name="Normal 5 5 5 2" xfId="3546" xr:uid="{00000000-0005-0000-0000-0000010E0000}"/>
    <cellStyle name="Normal 5 5 5 2 2" xfId="7768" xr:uid="{00000000-0005-0000-0000-00007F1E0000}"/>
    <cellStyle name="Normal 5 5 5 2 2 2" xfId="17359" xr:uid="{485B320F-B0A5-4363-BBFB-E5E1C4DCA20D}"/>
    <cellStyle name="Normal 5 5 5 2 3" xfId="13138" xr:uid="{2FDA2AFA-D017-42AA-946B-4D75253F7046}"/>
    <cellStyle name="Normal 5 5 5 3" xfId="5623" xr:uid="{00000000-0005-0000-0000-00001E160000}"/>
    <cellStyle name="Normal 5 5 5 3 2" xfId="15214" xr:uid="{AD4EAF64-FF79-4082-8F6D-046964DD852E}"/>
    <cellStyle name="Normal 5 5 5 4" xfId="10909" xr:uid="{48ECFFDB-E1B2-452A-9757-3C127E98EC4C}"/>
    <cellStyle name="Normal 5 5 6" xfId="1729" xr:uid="{00000000-0005-0000-0000-0000E8060000}"/>
    <cellStyle name="Normal 5 5 6 2" xfId="3959" xr:uid="{00000000-0005-0000-0000-00009E0F0000}"/>
    <cellStyle name="Normal 5 5 6 2 2" xfId="8181" xr:uid="{00000000-0005-0000-0000-00001C200000}"/>
    <cellStyle name="Normal 5 5 6 2 2 2" xfId="17772" xr:uid="{1F9C471C-5595-4F29-9BEF-0F37B3B8ABAF}"/>
    <cellStyle name="Normal 5 5 6 2 3" xfId="13551" xr:uid="{A21781BC-3D4C-4EC9-B0F1-AD41C0935760}"/>
    <cellStyle name="Normal 5 5 6 3" xfId="6036" xr:uid="{00000000-0005-0000-0000-0000BB170000}"/>
    <cellStyle name="Normal 5 5 6 3 2" xfId="15627" xr:uid="{CDC33AF3-E45D-426A-9254-816608E43458}"/>
    <cellStyle name="Normal 5 5 6 4" xfId="11322" xr:uid="{0FC3E713-6CA3-4136-81B3-247BDB253A6B}"/>
    <cellStyle name="Normal 5 5 7" xfId="2143" xr:uid="{00000000-0005-0000-0000-000086080000}"/>
    <cellStyle name="Normal 5 5 7 2" xfId="4372" xr:uid="{00000000-0005-0000-0000-00003B110000}"/>
    <cellStyle name="Normal 5 5 7 2 2" xfId="8594" xr:uid="{00000000-0005-0000-0000-0000B9210000}"/>
    <cellStyle name="Normal 5 5 7 2 2 2" xfId="18185" xr:uid="{BC9A4CE4-8357-4B98-8A86-6C961305F590}"/>
    <cellStyle name="Normal 5 5 7 2 3" xfId="13964" xr:uid="{21B6AAFB-A281-426C-8888-8B6414BACF72}"/>
    <cellStyle name="Normal 5 5 7 3" xfId="6449" xr:uid="{00000000-0005-0000-0000-000058190000}"/>
    <cellStyle name="Normal 5 5 7 3 2" xfId="16040" xr:uid="{C27A269E-AF46-43C5-8EFB-A5017ECCB04A}"/>
    <cellStyle name="Normal 5 5 7 4" xfId="11735" xr:uid="{CFB786B2-D5CA-4E21-BD80-A5F03096F9E0}"/>
    <cellStyle name="Normal 5 5 8" xfId="2579" xr:uid="{00000000-0005-0000-0000-00003A0A0000}"/>
    <cellStyle name="Normal 5 5 8 2" xfId="6862" xr:uid="{00000000-0005-0000-0000-0000F51A0000}"/>
    <cellStyle name="Normal 5 5 8 2 2" xfId="16453" xr:uid="{D281302C-79EE-4F27-9D93-867AB375E36F}"/>
    <cellStyle name="Normal 5 5 8 3" xfId="12171" xr:uid="{970DCAC2-1B03-4E3D-9991-86B70900B1DF}"/>
    <cellStyle name="Normal 5 5 9" xfId="4797" xr:uid="{00000000-0005-0000-0000-0000E4120000}"/>
    <cellStyle name="Normal 5 5 9 2" xfId="14388" xr:uid="{D5206FCA-16F4-47E3-A92E-157F59F1645A}"/>
    <cellStyle name="Normal 5 6" xfId="432" xr:uid="{00000000-0005-0000-0000-0000D4010000}"/>
    <cellStyle name="Normal 5 6 10" xfId="10030" xr:uid="{1F0C591D-329F-434A-A6EF-8936610CEF86}"/>
    <cellStyle name="Normal 5 6 2" xfId="433" xr:uid="{00000000-0005-0000-0000-0000D5010000}"/>
    <cellStyle name="Normal 5 6 2 2" xfId="904" xr:uid="{00000000-0005-0000-0000-0000AF030000}"/>
    <cellStyle name="Normal 5 6 2 2 2" xfId="3138" xr:uid="{00000000-0005-0000-0000-0000690C0000}"/>
    <cellStyle name="Normal 5 6 2 2 2 2" xfId="7360" xr:uid="{00000000-0005-0000-0000-0000E71C0000}"/>
    <cellStyle name="Normal 5 6 2 2 2 2 2" xfId="16951" xr:uid="{5B215433-ED5F-48EE-A4E6-D60E76821C56}"/>
    <cellStyle name="Normal 5 6 2 2 2 3" xfId="12730" xr:uid="{3EF9B439-B552-4515-A43A-FA8D9C6FAD96}"/>
    <cellStyle name="Normal 5 6 2 2 3" xfId="5215" xr:uid="{00000000-0005-0000-0000-000086140000}"/>
    <cellStyle name="Normal 5 6 2 2 3 2" xfId="14806" xr:uid="{768F3F25-F76A-4A19-ACED-FFD359D92A1E}"/>
    <cellStyle name="Normal 5 6 2 2 4" xfId="9437" xr:uid="{00000000-0005-0000-0000-000004250000}"/>
    <cellStyle name="Normal 5 6 2 2 5" xfId="10497" xr:uid="{51E6965C-5CCC-4FF4-A078-42D4CE483778}"/>
    <cellStyle name="Normal 5 6 2 3" xfId="1321" xr:uid="{00000000-0005-0000-0000-000050050000}"/>
    <cellStyle name="Normal 5 6 2 3 2" xfId="3551" xr:uid="{00000000-0005-0000-0000-0000060E0000}"/>
    <cellStyle name="Normal 5 6 2 3 2 2" xfId="7773" xr:uid="{00000000-0005-0000-0000-0000841E0000}"/>
    <cellStyle name="Normal 5 6 2 3 2 2 2" xfId="17364" xr:uid="{5641168F-C382-4A5F-BD53-E2C0AB36F534}"/>
    <cellStyle name="Normal 5 6 2 3 2 3" xfId="13143" xr:uid="{97908500-A281-4711-A4A3-8A8B4B005CD7}"/>
    <cellStyle name="Normal 5 6 2 3 3" xfId="5628" xr:uid="{00000000-0005-0000-0000-000023160000}"/>
    <cellStyle name="Normal 5 6 2 3 3 2" xfId="15219" xr:uid="{CE0BECC8-EA9F-429D-9398-AF0A761657D5}"/>
    <cellStyle name="Normal 5 6 2 3 4" xfId="10914" xr:uid="{606986F7-4715-49B7-93F0-35F976BB7C3D}"/>
    <cellStyle name="Normal 5 6 2 4" xfId="1734" xr:uid="{00000000-0005-0000-0000-0000ED060000}"/>
    <cellStyle name="Normal 5 6 2 4 2" xfId="3964" xr:uid="{00000000-0005-0000-0000-0000A30F0000}"/>
    <cellStyle name="Normal 5 6 2 4 2 2" xfId="8186" xr:uid="{00000000-0005-0000-0000-000021200000}"/>
    <cellStyle name="Normal 5 6 2 4 2 2 2" xfId="17777" xr:uid="{A0761F06-151A-4B78-9A41-FEC39DE809CB}"/>
    <cellStyle name="Normal 5 6 2 4 2 3" xfId="13556" xr:uid="{6CC90B52-5ECC-4942-8127-3E1247EE2B95}"/>
    <cellStyle name="Normal 5 6 2 4 3" xfId="6041" xr:uid="{00000000-0005-0000-0000-0000C0170000}"/>
    <cellStyle name="Normal 5 6 2 4 3 2" xfId="15632" xr:uid="{52FB49DF-7D17-47C5-A011-7049FDC75890}"/>
    <cellStyle name="Normal 5 6 2 4 4" xfId="11327" xr:uid="{B642CCE0-0A6E-49AF-B63E-23C2906DE4B8}"/>
    <cellStyle name="Normal 5 6 2 5" xfId="2148" xr:uid="{00000000-0005-0000-0000-00008B080000}"/>
    <cellStyle name="Normal 5 6 2 5 2" xfId="4377" xr:uid="{00000000-0005-0000-0000-000040110000}"/>
    <cellStyle name="Normal 5 6 2 5 2 2" xfId="8599" xr:uid="{00000000-0005-0000-0000-0000BE210000}"/>
    <cellStyle name="Normal 5 6 2 5 2 2 2" xfId="18190" xr:uid="{DAB8DA72-A9C7-435A-9D6F-934DCBD7558B}"/>
    <cellStyle name="Normal 5 6 2 5 2 3" xfId="13969" xr:uid="{C9C040A4-7D00-47BF-A2D8-B0AF41687755}"/>
    <cellStyle name="Normal 5 6 2 5 3" xfId="6454" xr:uid="{00000000-0005-0000-0000-00005D190000}"/>
    <cellStyle name="Normal 5 6 2 5 3 2" xfId="16045" xr:uid="{BCB94B17-2C7C-4936-B14C-5EF4E8BBB077}"/>
    <cellStyle name="Normal 5 6 2 5 4" xfId="11740" xr:uid="{4FD44D5F-DE16-4ED6-95C1-BD8B75CBE456}"/>
    <cellStyle name="Normal 5 6 2 6" xfId="2584" xr:uid="{00000000-0005-0000-0000-00003F0A0000}"/>
    <cellStyle name="Normal 5 6 2 6 2" xfId="6867" xr:uid="{00000000-0005-0000-0000-0000FA1A0000}"/>
    <cellStyle name="Normal 5 6 2 6 2 2" xfId="16458" xr:uid="{C4D0878C-3C69-4FDF-9404-055009157E14}"/>
    <cellStyle name="Normal 5 6 2 6 3" xfId="12176" xr:uid="{CAD98936-0DD4-4292-B42C-0E1E8D76DF79}"/>
    <cellStyle name="Normal 5 6 2 7" xfId="4802" xr:uid="{00000000-0005-0000-0000-0000E9120000}"/>
    <cellStyle name="Normal 5 6 2 7 2" xfId="14393" xr:uid="{171E5DBB-57E8-4BC4-8AA5-207ABCE08FD7}"/>
    <cellStyle name="Normal 5 6 2 8" xfId="9012" xr:uid="{00000000-0005-0000-0000-00005B230000}"/>
    <cellStyle name="Normal 5 6 2 9" xfId="10031" xr:uid="{A8F3140E-C6DD-4841-8F32-99BCB187ACB4}"/>
    <cellStyle name="Normal 5 6 3" xfId="903" xr:uid="{00000000-0005-0000-0000-0000AE030000}"/>
    <cellStyle name="Normal 5 6 3 2" xfId="3137" xr:uid="{00000000-0005-0000-0000-0000680C0000}"/>
    <cellStyle name="Normal 5 6 3 2 2" xfId="7359" xr:uid="{00000000-0005-0000-0000-0000E61C0000}"/>
    <cellStyle name="Normal 5 6 3 2 2 2" xfId="16950" xr:uid="{1149FF65-1AA8-43C9-A3E3-3F8C96510FC2}"/>
    <cellStyle name="Normal 5 6 3 2 3" xfId="12729" xr:uid="{A152948E-F90D-424C-8D4C-A2DC2618466E}"/>
    <cellStyle name="Normal 5 6 3 3" xfId="5214" xr:uid="{00000000-0005-0000-0000-000085140000}"/>
    <cellStyle name="Normal 5 6 3 3 2" xfId="14805" xr:uid="{933F86CA-F199-416C-A811-7D0BCC06B180}"/>
    <cellStyle name="Normal 5 6 3 4" xfId="9230" xr:uid="{00000000-0005-0000-0000-000035240000}"/>
    <cellStyle name="Normal 5 6 3 5" xfId="10496" xr:uid="{A243125C-7463-43CF-9F95-024FDA1366D9}"/>
    <cellStyle name="Normal 5 6 4" xfId="1320" xr:uid="{00000000-0005-0000-0000-00004F050000}"/>
    <cellStyle name="Normal 5 6 4 2" xfId="3550" xr:uid="{00000000-0005-0000-0000-0000050E0000}"/>
    <cellStyle name="Normal 5 6 4 2 2" xfId="7772" xr:uid="{00000000-0005-0000-0000-0000831E0000}"/>
    <cellStyle name="Normal 5 6 4 2 2 2" xfId="17363" xr:uid="{FE70C64F-4B85-4B8A-B515-0058A7B23756}"/>
    <cellStyle name="Normal 5 6 4 2 3" xfId="13142" xr:uid="{1AAFD568-4EA7-42C2-AED0-137A9F17A859}"/>
    <cellStyle name="Normal 5 6 4 3" xfId="5627" xr:uid="{00000000-0005-0000-0000-000022160000}"/>
    <cellStyle name="Normal 5 6 4 3 2" xfId="15218" xr:uid="{DDCE5D82-A55F-4C35-941F-158ECF4EB6ED}"/>
    <cellStyle name="Normal 5 6 4 4" xfId="10913" xr:uid="{CCCA266A-2203-4E4A-9A5A-1FA0A18EAFEC}"/>
    <cellStyle name="Normal 5 6 5" xfId="1733" xr:uid="{00000000-0005-0000-0000-0000EC060000}"/>
    <cellStyle name="Normal 5 6 5 2" xfId="3963" xr:uid="{00000000-0005-0000-0000-0000A20F0000}"/>
    <cellStyle name="Normal 5 6 5 2 2" xfId="8185" xr:uid="{00000000-0005-0000-0000-000020200000}"/>
    <cellStyle name="Normal 5 6 5 2 2 2" xfId="17776" xr:uid="{57A078B9-4ABB-462C-B48C-4C8C994A743B}"/>
    <cellStyle name="Normal 5 6 5 2 3" xfId="13555" xr:uid="{ED709A02-EA66-4DBE-B697-629783D192D5}"/>
    <cellStyle name="Normal 5 6 5 3" xfId="6040" xr:uid="{00000000-0005-0000-0000-0000BF170000}"/>
    <cellStyle name="Normal 5 6 5 3 2" xfId="15631" xr:uid="{DA547B17-AA61-4D21-A4A8-5A7EF118F870}"/>
    <cellStyle name="Normal 5 6 5 4" xfId="11326" xr:uid="{12D3B5FE-26DE-4446-9CCA-0B66BF97B44B}"/>
    <cellStyle name="Normal 5 6 6" xfId="2147" xr:uid="{00000000-0005-0000-0000-00008A080000}"/>
    <cellStyle name="Normal 5 6 6 2" xfId="4376" xr:uid="{00000000-0005-0000-0000-00003F110000}"/>
    <cellStyle name="Normal 5 6 6 2 2" xfId="8598" xr:uid="{00000000-0005-0000-0000-0000BD210000}"/>
    <cellStyle name="Normal 5 6 6 2 2 2" xfId="18189" xr:uid="{5615A3A8-16ED-4940-BAEF-D28D753B2ABA}"/>
    <cellStyle name="Normal 5 6 6 2 3" xfId="13968" xr:uid="{66F5DBED-EA7B-4C14-9B41-5F5805855CBC}"/>
    <cellStyle name="Normal 5 6 6 3" xfId="6453" xr:uid="{00000000-0005-0000-0000-00005C190000}"/>
    <cellStyle name="Normal 5 6 6 3 2" xfId="16044" xr:uid="{C6A95616-01FF-43C3-800E-1FCC7D68B5D5}"/>
    <cellStyle name="Normal 5 6 6 4" xfId="11739" xr:uid="{C5C09117-A8C3-49E5-A78A-1DD4B9D6CB30}"/>
    <cellStyle name="Normal 5 6 7" xfId="2583" xr:uid="{00000000-0005-0000-0000-00003E0A0000}"/>
    <cellStyle name="Normal 5 6 7 2" xfId="6866" xr:uid="{00000000-0005-0000-0000-0000F91A0000}"/>
    <cellStyle name="Normal 5 6 7 2 2" xfId="16457" xr:uid="{C2283EFC-425E-44B0-A682-7B99F70F4CA1}"/>
    <cellStyle name="Normal 5 6 7 3" xfId="12175" xr:uid="{727CFC3F-F50D-4859-AD56-6BB1DD7F4AD9}"/>
    <cellStyle name="Normal 5 6 8" xfId="4801" xr:uid="{00000000-0005-0000-0000-0000E8120000}"/>
    <cellStyle name="Normal 5 6 8 2" xfId="14392" xr:uid="{E3CBF828-2C2B-4430-B920-B571EA1B312B}"/>
    <cellStyle name="Normal 5 6 9" xfId="8805" xr:uid="{00000000-0005-0000-0000-00008C220000}"/>
    <cellStyle name="Normal 5 7" xfId="434" xr:uid="{00000000-0005-0000-0000-0000D6010000}"/>
    <cellStyle name="Normal 5 7 2" xfId="905" xr:uid="{00000000-0005-0000-0000-0000B0030000}"/>
    <cellStyle name="Normal 5 7 2 2" xfId="3139" xr:uid="{00000000-0005-0000-0000-00006A0C0000}"/>
    <cellStyle name="Normal 5 7 2 2 2" xfId="7361" xr:uid="{00000000-0005-0000-0000-0000E81C0000}"/>
    <cellStyle name="Normal 5 7 2 2 2 2" xfId="16952" xr:uid="{53522358-EF7B-4432-B452-28371380133B}"/>
    <cellStyle name="Normal 5 7 2 2 3" xfId="12731" xr:uid="{014AC224-D809-41F9-B0D7-6F4B458F8538}"/>
    <cellStyle name="Normal 5 7 2 3" xfId="5216" xr:uid="{00000000-0005-0000-0000-000087140000}"/>
    <cellStyle name="Normal 5 7 2 3 2" xfId="14807" xr:uid="{5C3B487C-1C1F-4BD1-8CDD-07C1E50B7A0D}"/>
    <cellStyle name="Normal 5 7 2 4" xfId="9346" xr:uid="{00000000-0005-0000-0000-0000A9240000}"/>
    <cellStyle name="Normal 5 7 2 5" xfId="10498" xr:uid="{2B95B4AF-EC0D-4E82-874C-D733ACF34A66}"/>
    <cellStyle name="Normal 5 7 3" xfId="1322" xr:uid="{00000000-0005-0000-0000-000051050000}"/>
    <cellStyle name="Normal 5 7 3 2" xfId="3552" xr:uid="{00000000-0005-0000-0000-0000070E0000}"/>
    <cellStyle name="Normal 5 7 3 2 2" xfId="7774" xr:uid="{00000000-0005-0000-0000-0000851E0000}"/>
    <cellStyle name="Normal 5 7 3 2 2 2" xfId="17365" xr:uid="{5E5293C8-9B0A-4AD3-91B5-C412C8978C6E}"/>
    <cellStyle name="Normal 5 7 3 2 3" xfId="13144" xr:uid="{B792E738-99A8-42A0-AE64-051BED2A5665}"/>
    <cellStyle name="Normal 5 7 3 3" xfId="5629" xr:uid="{00000000-0005-0000-0000-000024160000}"/>
    <cellStyle name="Normal 5 7 3 3 2" xfId="15220" xr:uid="{37543C8A-89F8-4212-993F-C8E2AFD20528}"/>
    <cellStyle name="Normal 5 7 3 4" xfId="10915" xr:uid="{D73F62E0-1558-4093-A88C-C7C44A70AED7}"/>
    <cellStyle name="Normal 5 7 4" xfId="1735" xr:uid="{00000000-0005-0000-0000-0000EE060000}"/>
    <cellStyle name="Normal 5 7 4 2" xfId="3965" xr:uid="{00000000-0005-0000-0000-0000A40F0000}"/>
    <cellStyle name="Normal 5 7 4 2 2" xfId="8187" xr:uid="{00000000-0005-0000-0000-000022200000}"/>
    <cellStyle name="Normal 5 7 4 2 2 2" xfId="17778" xr:uid="{4E0A85DB-9651-4B23-BE57-F8EDB5A380AC}"/>
    <cellStyle name="Normal 5 7 4 2 3" xfId="13557" xr:uid="{1F7C3AD4-F383-4473-9351-3D5C9848E32F}"/>
    <cellStyle name="Normal 5 7 4 3" xfId="6042" xr:uid="{00000000-0005-0000-0000-0000C1170000}"/>
    <cellStyle name="Normal 5 7 4 3 2" xfId="15633" xr:uid="{FDEBE345-08CA-44B1-8824-2564EF7DD28E}"/>
    <cellStyle name="Normal 5 7 4 4" xfId="11328" xr:uid="{2A9F2159-9FDB-4981-AFC5-9C9FF27B916B}"/>
    <cellStyle name="Normal 5 7 5" xfId="2149" xr:uid="{00000000-0005-0000-0000-00008C080000}"/>
    <cellStyle name="Normal 5 7 5 2" xfId="4378" xr:uid="{00000000-0005-0000-0000-000041110000}"/>
    <cellStyle name="Normal 5 7 5 2 2" xfId="8600" xr:uid="{00000000-0005-0000-0000-0000BF210000}"/>
    <cellStyle name="Normal 5 7 5 2 2 2" xfId="18191" xr:uid="{A64AE4AC-27B5-488C-A39A-6E93F4B92E89}"/>
    <cellStyle name="Normal 5 7 5 2 3" xfId="13970" xr:uid="{D02A275A-7B4A-4948-9651-8372B8A26858}"/>
    <cellStyle name="Normal 5 7 5 3" xfId="6455" xr:uid="{00000000-0005-0000-0000-00005E190000}"/>
    <cellStyle name="Normal 5 7 5 3 2" xfId="16046" xr:uid="{43F3C575-E687-4707-B7BA-C72EF9D6B50A}"/>
    <cellStyle name="Normal 5 7 5 4" xfId="11741" xr:uid="{4CD489FC-E6A2-4202-B653-BAA375A99098}"/>
    <cellStyle name="Normal 5 7 6" xfId="2585" xr:uid="{00000000-0005-0000-0000-0000400A0000}"/>
    <cellStyle name="Normal 5 7 6 2" xfId="6868" xr:uid="{00000000-0005-0000-0000-0000FB1A0000}"/>
    <cellStyle name="Normal 5 7 6 2 2" xfId="16459" xr:uid="{9CF19F22-1CE9-4308-8278-F8EA7DCA0C20}"/>
    <cellStyle name="Normal 5 7 6 3" xfId="12177" xr:uid="{2BE4E21D-C348-4AA0-AFEA-E14C77B784DC}"/>
    <cellStyle name="Normal 5 7 7" xfId="4803" xr:uid="{00000000-0005-0000-0000-0000EA120000}"/>
    <cellStyle name="Normal 5 7 7 2" xfId="14394" xr:uid="{635609B4-9375-4CC2-92A2-36A39433C68E}"/>
    <cellStyle name="Normal 5 7 8" xfId="8921" xr:uid="{00000000-0005-0000-0000-000000230000}"/>
    <cellStyle name="Normal 5 7 9" xfId="10032" xr:uid="{9ECC0473-FD9A-4D94-8AC3-F9F03E10E843}"/>
    <cellStyle name="Normal 5 8" xfId="841" xr:uid="{00000000-0005-0000-0000-000070030000}"/>
    <cellStyle name="Normal 5 8 2" xfId="3076" xr:uid="{00000000-0005-0000-0000-00002B0C0000}"/>
    <cellStyle name="Normal 5 8 2 2" xfId="7298" xr:uid="{00000000-0005-0000-0000-0000A91C0000}"/>
    <cellStyle name="Normal 5 8 2 2 2" xfId="16889" xr:uid="{0A78A090-F02A-40A5-988B-7E3D2A5D2C24}"/>
    <cellStyle name="Normal 5 8 2 3" xfId="12668" xr:uid="{67309C9D-27FA-4862-A33F-4BED8EE6DA6C}"/>
    <cellStyle name="Normal 5 8 3" xfId="5153" xr:uid="{00000000-0005-0000-0000-000048140000}"/>
    <cellStyle name="Normal 5 8 3 2" xfId="14744" xr:uid="{1B67B8A0-AA43-4DE8-813D-E5E83A96284A}"/>
    <cellStyle name="Normal 5 8 4" xfId="9124" xr:uid="{00000000-0005-0000-0000-0000CB230000}"/>
    <cellStyle name="Normal 5 8 5" xfId="10434" xr:uid="{F09F78F2-E6A1-434D-9D3D-E9846241A997}"/>
    <cellStyle name="Normal 5 9" xfId="1259" xr:uid="{00000000-0005-0000-0000-000012050000}"/>
    <cellStyle name="Normal 5 9 2" xfId="3489" xr:uid="{00000000-0005-0000-0000-0000C80D0000}"/>
    <cellStyle name="Normal 5 9 2 2" xfId="7711" xr:uid="{00000000-0005-0000-0000-0000461E0000}"/>
    <cellStyle name="Normal 5 9 2 2 2" xfId="17302" xr:uid="{39003736-0367-4ECF-86C9-6230686383E9}"/>
    <cellStyle name="Normal 5 9 2 3" xfId="13081" xr:uid="{4DDCED4B-018A-46D0-9E97-3CB1EB79FE34}"/>
    <cellStyle name="Normal 5 9 3" xfId="5566" xr:uid="{00000000-0005-0000-0000-0000E5150000}"/>
    <cellStyle name="Normal 5 9 3 2" xfId="15157" xr:uid="{E7A2CFB2-541B-4718-B4E9-0FCFB941A163}"/>
    <cellStyle name="Normal 5 9 4" xfId="10852" xr:uid="{9EE985B0-785C-428D-806E-F7C5AA57DBEC}"/>
    <cellStyle name="Normal 6" xfId="435" xr:uid="{00000000-0005-0000-0000-0000D7010000}"/>
    <cellStyle name="Normal 6 2" xfId="436" xr:uid="{00000000-0005-0000-0000-0000D8010000}"/>
    <cellStyle name="Normal 6 2 2" xfId="10034" xr:uid="{3817F462-90FC-4BAE-93F9-73232BA009E1}"/>
    <cellStyle name="Normal 6 3" xfId="437" xr:uid="{00000000-0005-0000-0000-0000D9010000}"/>
    <cellStyle name="Normal 6 3 2" xfId="438" xr:uid="{00000000-0005-0000-0000-0000DA010000}"/>
    <cellStyle name="Normal 6 3 2 2" xfId="10036" xr:uid="{6F7B204F-71F0-4E60-8DD6-39D380D9F9F5}"/>
    <cellStyle name="Normal 6 3 3" xfId="439" xr:uid="{00000000-0005-0000-0000-0000DB010000}"/>
    <cellStyle name="Normal 6 3 3 2" xfId="10037" xr:uid="{7038E260-0334-4B39-8DC8-7719A6D34732}"/>
    <cellStyle name="Normal 6 3 4" xfId="10035" xr:uid="{3BA13CAB-08D9-4676-8A97-BB1AF8FB1443}"/>
    <cellStyle name="Normal 6 4" xfId="10033" xr:uid="{E92DA1DB-2F15-4E7E-B4C5-464EEF8A4725}"/>
    <cellStyle name="Normal 7" xfId="440" xr:uid="{00000000-0005-0000-0000-0000DC010000}"/>
    <cellStyle name="Normal 7 2" xfId="441" xr:uid="{00000000-0005-0000-0000-0000DD010000}"/>
    <cellStyle name="Normal 7 2 2" xfId="10039" xr:uid="{F9A774C2-F8DA-4CBA-80D2-6752FECA39A6}"/>
    <cellStyle name="Normal 7 3" xfId="10038" xr:uid="{E83D710F-41F2-403D-8D2A-E3803DB5A035}"/>
    <cellStyle name="Normal 8" xfId="442" xr:uid="{00000000-0005-0000-0000-0000DE010000}"/>
    <cellStyle name="Normal 8 10" xfId="2150" xr:uid="{00000000-0005-0000-0000-00008D080000}"/>
    <cellStyle name="Normal 8 10 2" xfId="4379" xr:uid="{00000000-0005-0000-0000-000042110000}"/>
    <cellStyle name="Normal 8 10 2 2" xfId="8601" xr:uid="{00000000-0005-0000-0000-0000C0210000}"/>
    <cellStyle name="Normal 8 10 2 2 2" xfId="18192" xr:uid="{8CD03CD2-07F2-44DB-8042-FBDFB66A3957}"/>
    <cellStyle name="Normal 8 10 2 3" xfId="13971" xr:uid="{D5F446B4-E486-4E18-8EEC-D6EFB1A3C801}"/>
    <cellStyle name="Normal 8 10 3" xfId="6456" xr:uid="{00000000-0005-0000-0000-00005F190000}"/>
    <cellStyle name="Normal 8 10 3 2" xfId="16047" xr:uid="{1450AEDE-5FFF-421E-B8A8-C303AC0D1AE4}"/>
    <cellStyle name="Normal 8 10 4" xfId="11742" xr:uid="{A8780A83-F978-4087-85AB-E07EA733C57A}"/>
    <cellStyle name="Normal 8 11" xfId="2586" xr:uid="{00000000-0005-0000-0000-0000410A0000}"/>
    <cellStyle name="Normal 8 11 2" xfId="6869" xr:uid="{00000000-0005-0000-0000-0000FC1A0000}"/>
    <cellStyle name="Normal 8 11 2 2" xfId="16460" xr:uid="{30FB363E-73EB-4FD0-A362-04F06152196C}"/>
    <cellStyle name="Normal 8 11 3" xfId="12178" xr:uid="{52D4BEB6-CBA5-4F94-BF84-02D841B35900}"/>
    <cellStyle name="Normal 8 12" xfId="4804" xr:uid="{00000000-0005-0000-0000-0000EB120000}"/>
    <cellStyle name="Normal 8 12 2" xfId="14395" xr:uid="{5BE2EE5B-62B9-41B3-BC5C-2997271454A7}"/>
    <cellStyle name="Normal 8 13" xfId="8703" xr:uid="{00000000-0005-0000-0000-000026220000}"/>
    <cellStyle name="Normal 8 14" xfId="10040" xr:uid="{29F80E8B-B4FF-43D3-A2D8-28236E26EA11}"/>
    <cellStyle name="Normal 8 2" xfId="443" xr:uid="{00000000-0005-0000-0000-0000DF010000}"/>
    <cellStyle name="Normal 8 2 10" xfId="2587" xr:uid="{00000000-0005-0000-0000-0000420A0000}"/>
    <cellStyle name="Normal 8 2 10 2" xfId="6870" xr:uid="{00000000-0005-0000-0000-0000FD1A0000}"/>
    <cellStyle name="Normal 8 2 10 2 2" xfId="16461" xr:uid="{6227A06A-56B5-4990-9D30-8696CA39C9D1}"/>
    <cellStyle name="Normal 8 2 10 3" xfId="12179" xr:uid="{0F21051C-8956-4AE3-BF54-54228A8C4DDD}"/>
    <cellStyle name="Normal 8 2 11" xfId="4805" xr:uid="{00000000-0005-0000-0000-0000EC120000}"/>
    <cellStyle name="Normal 8 2 11 2" xfId="14396" xr:uid="{0DD70DCD-B9CD-4AA4-8E26-F577EE0114A6}"/>
    <cellStyle name="Normal 8 2 12" xfId="8712" xr:uid="{00000000-0005-0000-0000-00002F220000}"/>
    <cellStyle name="Normal 8 2 13" xfId="10041" xr:uid="{3C6A151D-A94F-45DF-94DE-DC4DEF6917E6}"/>
    <cellStyle name="Normal 8 2 2" xfId="444" xr:uid="{00000000-0005-0000-0000-0000E0010000}"/>
    <cellStyle name="Normal 8 2 2 10" xfId="4806" xr:uid="{00000000-0005-0000-0000-0000ED120000}"/>
    <cellStyle name="Normal 8 2 2 10 2" xfId="14397" xr:uid="{5261488F-11A2-40ED-B5F3-9DCA3717F8EC}"/>
    <cellStyle name="Normal 8 2 2 11" xfId="8744" xr:uid="{00000000-0005-0000-0000-00004F220000}"/>
    <cellStyle name="Normal 8 2 2 12" xfId="10042" xr:uid="{4457349D-077E-43F1-86F7-77F2320A094B}"/>
    <cellStyle name="Normal 8 2 2 2" xfId="445" xr:uid="{00000000-0005-0000-0000-0000E1010000}"/>
    <cellStyle name="Normal 8 2 2 2 10" xfId="8797" xr:uid="{00000000-0005-0000-0000-000084220000}"/>
    <cellStyle name="Normal 8 2 2 2 11" xfId="10043" xr:uid="{2AE545A7-3946-442F-85D0-20A13AC2684B}"/>
    <cellStyle name="Normal 8 2 2 2 2" xfId="446" xr:uid="{00000000-0005-0000-0000-0000E2010000}"/>
    <cellStyle name="Normal 8 2 2 2 2 10" xfId="10044" xr:uid="{02924F6E-3C93-49C5-82C7-0C417BCF7075}"/>
    <cellStyle name="Normal 8 2 2 2 2 2" xfId="447" xr:uid="{00000000-0005-0000-0000-0000E3010000}"/>
    <cellStyle name="Normal 8 2 2 2 2 2 2" xfId="911" xr:uid="{00000000-0005-0000-0000-0000B6030000}"/>
    <cellStyle name="Normal 8 2 2 2 2 2 2 2" xfId="3145" xr:uid="{00000000-0005-0000-0000-0000700C0000}"/>
    <cellStyle name="Normal 8 2 2 2 2 2 2 2 2" xfId="7367" xr:uid="{00000000-0005-0000-0000-0000EE1C0000}"/>
    <cellStyle name="Normal 8 2 2 2 2 2 2 2 2 2" xfId="16958" xr:uid="{36587465-D7FA-4B51-A7B8-9ECE85F58A43}"/>
    <cellStyle name="Normal 8 2 2 2 2 2 2 2 3" xfId="12737" xr:uid="{E4C2425B-3C31-45EE-8E59-61D1F67ABBB7}"/>
    <cellStyle name="Normal 8 2 2 2 2 2 2 3" xfId="5222" xr:uid="{00000000-0005-0000-0000-00008D140000}"/>
    <cellStyle name="Normal 8 2 2 2 2 2 2 3 2" xfId="14813" xr:uid="{FDFC90C0-19CF-4FAE-86CD-7A5478B16122}"/>
    <cellStyle name="Normal 8 2 2 2 2 2 2 4" xfId="9532" xr:uid="{00000000-0005-0000-0000-000063250000}"/>
    <cellStyle name="Normal 8 2 2 2 2 2 2 5" xfId="10504" xr:uid="{7AE3FE20-4593-4A01-B926-34DCA5A9671A}"/>
    <cellStyle name="Normal 8 2 2 2 2 2 3" xfId="1328" xr:uid="{00000000-0005-0000-0000-000057050000}"/>
    <cellStyle name="Normal 8 2 2 2 2 2 3 2" xfId="3558" xr:uid="{00000000-0005-0000-0000-00000D0E0000}"/>
    <cellStyle name="Normal 8 2 2 2 2 2 3 2 2" xfId="7780" xr:uid="{00000000-0005-0000-0000-00008B1E0000}"/>
    <cellStyle name="Normal 8 2 2 2 2 2 3 2 2 2" xfId="17371" xr:uid="{D60E7847-BC26-4803-8FA5-1351A0E10A72}"/>
    <cellStyle name="Normal 8 2 2 2 2 2 3 2 3" xfId="13150" xr:uid="{FEEB498A-1FF9-4F32-889C-69CEEE54E503}"/>
    <cellStyle name="Normal 8 2 2 2 2 2 3 3" xfId="5635" xr:uid="{00000000-0005-0000-0000-00002A160000}"/>
    <cellStyle name="Normal 8 2 2 2 2 2 3 3 2" xfId="15226" xr:uid="{2497183F-757A-4D56-8D49-BF1902718F07}"/>
    <cellStyle name="Normal 8 2 2 2 2 2 3 4" xfId="10921" xr:uid="{C6FA00C3-DAAD-4F06-B163-5B246B724401}"/>
    <cellStyle name="Normal 8 2 2 2 2 2 4" xfId="1741" xr:uid="{00000000-0005-0000-0000-0000F4060000}"/>
    <cellStyle name="Normal 8 2 2 2 2 2 4 2" xfId="3971" xr:uid="{00000000-0005-0000-0000-0000AA0F0000}"/>
    <cellStyle name="Normal 8 2 2 2 2 2 4 2 2" xfId="8193" xr:uid="{00000000-0005-0000-0000-000028200000}"/>
    <cellStyle name="Normal 8 2 2 2 2 2 4 2 2 2" xfId="17784" xr:uid="{48454B20-6BB7-45C5-9FFC-F954BF6295BD}"/>
    <cellStyle name="Normal 8 2 2 2 2 2 4 2 3" xfId="13563" xr:uid="{1F6330DF-C7C2-4223-AAEB-EE64B3562BE2}"/>
    <cellStyle name="Normal 8 2 2 2 2 2 4 3" xfId="6048" xr:uid="{00000000-0005-0000-0000-0000C7170000}"/>
    <cellStyle name="Normal 8 2 2 2 2 2 4 3 2" xfId="15639" xr:uid="{901E69CB-D7FB-48AB-8741-21F0491A8E57}"/>
    <cellStyle name="Normal 8 2 2 2 2 2 4 4" xfId="11334" xr:uid="{BAFA0CE2-298B-4E7E-AB5C-7A40162B2032}"/>
    <cellStyle name="Normal 8 2 2 2 2 2 5" xfId="2155" xr:uid="{00000000-0005-0000-0000-000092080000}"/>
    <cellStyle name="Normal 8 2 2 2 2 2 5 2" xfId="4384" xr:uid="{00000000-0005-0000-0000-000047110000}"/>
    <cellStyle name="Normal 8 2 2 2 2 2 5 2 2" xfId="8606" xr:uid="{00000000-0005-0000-0000-0000C5210000}"/>
    <cellStyle name="Normal 8 2 2 2 2 2 5 2 2 2" xfId="18197" xr:uid="{3D28FD4A-80DF-4237-85A8-9F902DC33FDE}"/>
    <cellStyle name="Normal 8 2 2 2 2 2 5 2 3" xfId="13976" xr:uid="{414F0069-3357-4142-88D2-A773014866C5}"/>
    <cellStyle name="Normal 8 2 2 2 2 2 5 3" xfId="6461" xr:uid="{00000000-0005-0000-0000-000064190000}"/>
    <cellStyle name="Normal 8 2 2 2 2 2 5 3 2" xfId="16052" xr:uid="{4B16B740-7A97-4639-9FFB-25684BA82882}"/>
    <cellStyle name="Normal 8 2 2 2 2 2 5 4" xfId="11747" xr:uid="{4D610187-894F-4260-A473-A7753C9DC024}"/>
    <cellStyle name="Normal 8 2 2 2 2 2 6" xfId="2591" xr:uid="{00000000-0005-0000-0000-0000460A0000}"/>
    <cellStyle name="Normal 8 2 2 2 2 2 6 2" xfId="6874" xr:uid="{00000000-0005-0000-0000-0000011B0000}"/>
    <cellStyle name="Normal 8 2 2 2 2 2 6 2 2" xfId="16465" xr:uid="{0C466C9D-683A-4782-990E-56241D2253D2}"/>
    <cellStyle name="Normal 8 2 2 2 2 2 6 3" xfId="12183" xr:uid="{87D46517-D138-4D60-AA41-067574839A5E}"/>
    <cellStyle name="Normal 8 2 2 2 2 2 7" xfId="4809" xr:uid="{00000000-0005-0000-0000-0000F0120000}"/>
    <cellStyle name="Normal 8 2 2 2 2 2 7 2" xfId="14400" xr:uid="{4E69332A-BE6F-415D-8EA8-7AFF73ED1098}"/>
    <cellStyle name="Normal 8 2 2 2 2 2 8" xfId="9107" xr:uid="{00000000-0005-0000-0000-0000BA230000}"/>
    <cellStyle name="Normal 8 2 2 2 2 2 9" xfId="10045" xr:uid="{031891AA-3A5F-47DE-85C2-1FDCC789D967}"/>
    <cellStyle name="Normal 8 2 2 2 2 3" xfId="910" xr:uid="{00000000-0005-0000-0000-0000B5030000}"/>
    <cellStyle name="Normal 8 2 2 2 2 3 2" xfId="3144" xr:uid="{00000000-0005-0000-0000-00006F0C0000}"/>
    <cellStyle name="Normal 8 2 2 2 2 3 2 2" xfId="7366" xr:uid="{00000000-0005-0000-0000-0000ED1C0000}"/>
    <cellStyle name="Normal 8 2 2 2 2 3 2 2 2" xfId="16957" xr:uid="{7EB744ED-43BB-48EE-BAD5-E6A61832F2EB}"/>
    <cellStyle name="Normal 8 2 2 2 2 3 2 3" xfId="12736" xr:uid="{45C452BC-FA12-4247-BABB-383D2C46947B}"/>
    <cellStyle name="Normal 8 2 2 2 2 3 3" xfId="5221" xr:uid="{00000000-0005-0000-0000-00008C140000}"/>
    <cellStyle name="Normal 8 2 2 2 2 3 3 2" xfId="14812" xr:uid="{739A9C90-20B1-4E22-BAC7-DF326A8ED02A}"/>
    <cellStyle name="Normal 8 2 2 2 2 3 4" xfId="9325" xr:uid="{00000000-0005-0000-0000-000094240000}"/>
    <cellStyle name="Normal 8 2 2 2 2 3 5" xfId="10503" xr:uid="{EA527CD8-8C0C-4671-AD0F-971C7794924E}"/>
    <cellStyle name="Normal 8 2 2 2 2 4" xfId="1327" xr:uid="{00000000-0005-0000-0000-000056050000}"/>
    <cellStyle name="Normal 8 2 2 2 2 4 2" xfId="3557" xr:uid="{00000000-0005-0000-0000-00000C0E0000}"/>
    <cellStyle name="Normal 8 2 2 2 2 4 2 2" xfId="7779" xr:uid="{00000000-0005-0000-0000-00008A1E0000}"/>
    <cellStyle name="Normal 8 2 2 2 2 4 2 2 2" xfId="17370" xr:uid="{D9D05DF9-FF53-4F99-9AFC-52BCBE37B1FD}"/>
    <cellStyle name="Normal 8 2 2 2 2 4 2 3" xfId="13149" xr:uid="{48F9DCCD-7A02-464F-A710-79297859FA11}"/>
    <cellStyle name="Normal 8 2 2 2 2 4 3" xfId="5634" xr:uid="{00000000-0005-0000-0000-000029160000}"/>
    <cellStyle name="Normal 8 2 2 2 2 4 3 2" xfId="15225" xr:uid="{8F978739-3F4E-4F52-8C06-1F83ECCE8518}"/>
    <cellStyle name="Normal 8 2 2 2 2 4 4" xfId="10920" xr:uid="{65E4652E-6A9A-4B7D-94C7-BC2547958162}"/>
    <cellStyle name="Normal 8 2 2 2 2 5" xfId="1740" xr:uid="{00000000-0005-0000-0000-0000F3060000}"/>
    <cellStyle name="Normal 8 2 2 2 2 5 2" xfId="3970" xr:uid="{00000000-0005-0000-0000-0000A90F0000}"/>
    <cellStyle name="Normal 8 2 2 2 2 5 2 2" xfId="8192" xr:uid="{00000000-0005-0000-0000-000027200000}"/>
    <cellStyle name="Normal 8 2 2 2 2 5 2 2 2" xfId="17783" xr:uid="{4F44A67B-FC2B-43EC-8A75-C4774D275730}"/>
    <cellStyle name="Normal 8 2 2 2 2 5 2 3" xfId="13562" xr:uid="{EC8023D3-D874-45D0-ACB1-830D9343134D}"/>
    <cellStyle name="Normal 8 2 2 2 2 5 3" xfId="6047" xr:uid="{00000000-0005-0000-0000-0000C6170000}"/>
    <cellStyle name="Normal 8 2 2 2 2 5 3 2" xfId="15638" xr:uid="{38A8AF06-504B-40EC-A5B3-58C5B7F01FBB}"/>
    <cellStyle name="Normal 8 2 2 2 2 5 4" xfId="11333" xr:uid="{286765C6-1E6E-483A-8C8C-D49033782058}"/>
    <cellStyle name="Normal 8 2 2 2 2 6" xfId="2154" xr:uid="{00000000-0005-0000-0000-000091080000}"/>
    <cellStyle name="Normal 8 2 2 2 2 6 2" xfId="4383" xr:uid="{00000000-0005-0000-0000-000046110000}"/>
    <cellStyle name="Normal 8 2 2 2 2 6 2 2" xfId="8605" xr:uid="{00000000-0005-0000-0000-0000C4210000}"/>
    <cellStyle name="Normal 8 2 2 2 2 6 2 2 2" xfId="18196" xr:uid="{630EC9E5-DA87-4119-BF4F-F2E04DFFFAE1}"/>
    <cellStyle name="Normal 8 2 2 2 2 6 2 3" xfId="13975" xr:uid="{D9F80850-87AC-4DDB-8CDF-0C5F5A7BD01A}"/>
    <cellStyle name="Normal 8 2 2 2 2 6 3" xfId="6460" xr:uid="{00000000-0005-0000-0000-000063190000}"/>
    <cellStyle name="Normal 8 2 2 2 2 6 3 2" xfId="16051" xr:uid="{FDFC9FD9-B44E-4C72-B03C-199E22DECC21}"/>
    <cellStyle name="Normal 8 2 2 2 2 6 4" xfId="11746" xr:uid="{635EAB6F-B0FC-4E9C-9329-29ABAA0229E4}"/>
    <cellStyle name="Normal 8 2 2 2 2 7" xfId="2590" xr:uid="{00000000-0005-0000-0000-0000450A0000}"/>
    <cellStyle name="Normal 8 2 2 2 2 7 2" xfId="6873" xr:uid="{00000000-0005-0000-0000-0000001B0000}"/>
    <cellStyle name="Normal 8 2 2 2 2 7 2 2" xfId="16464" xr:uid="{E617CE97-3CC7-4321-86C5-558E9F51F895}"/>
    <cellStyle name="Normal 8 2 2 2 2 7 3" xfId="12182" xr:uid="{7342F193-4BC6-4D11-B134-31BB64265D8D}"/>
    <cellStyle name="Normal 8 2 2 2 2 8" xfId="4808" xr:uid="{00000000-0005-0000-0000-0000EF120000}"/>
    <cellStyle name="Normal 8 2 2 2 2 8 2" xfId="14399" xr:uid="{0B65E2FE-A2C3-4FF6-9C68-D73B4B34B796}"/>
    <cellStyle name="Normal 8 2 2 2 2 9" xfId="8900" xr:uid="{00000000-0005-0000-0000-0000EB220000}"/>
    <cellStyle name="Normal 8 2 2 2 3" xfId="448" xr:uid="{00000000-0005-0000-0000-0000E4010000}"/>
    <cellStyle name="Normal 8 2 2 2 3 2" xfId="912" xr:uid="{00000000-0005-0000-0000-0000B7030000}"/>
    <cellStyle name="Normal 8 2 2 2 3 2 2" xfId="3146" xr:uid="{00000000-0005-0000-0000-0000710C0000}"/>
    <cellStyle name="Normal 8 2 2 2 3 2 2 2" xfId="7368" xr:uid="{00000000-0005-0000-0000-0000EF1C0000}"/>
    <cellStyle name="Normal 8 2 2 2 3 2 2 2 2" xfId="16959" xr:uid="{0B5E6AB0-3F6D-437F-AF34-0B8E1F3B8EA9}"/>
    <cellStyle name="Normal 8 2 2 2 3 2 2 3" xfId="12738" xr:uid="{C159E0D3-D7D2-4FC9-B569-15EA340261A1}"/>
    <cellStyle name="Normal 8 2 2 2 3 2 3" xfId="5223" xr:uid="{00000000-0005-0000-0000-00008E140000}"/>
    <cellStyle name="Normal 8 2 2 2 3 2 3 2" xfId="14814" xr:uid="{B50A31B2-C088-4A77-8FD5-E94D16A8192D}"/>
    <cellStyle name="Normal 8 2 2 2 3 2 4" xfId="9429" xr:uid="{00000000-0005-0000-0000-0000FC240000}"/>
    <cellStyle name="Normal 8 2 2 2 3 2 5" xfId="10505" xr:uid="{727D6AFF-1E45-47FB-A30F-2C797BB52EF2}"/>
    <cellStyle name="Normal 8 2 2 2 3 3" xfId="1329" xr:uid="{00000000-0005-0000-0000-000058050000}"/>
    <cellStyle name="Normal 8 2 2 2 3 3 2" xfId="3559" xr:uid="{00000000-0005-0000-0000-00000E0E0000}"/>
    <cellStyle name="Normal 8 2 2 2 3 3 2 2" xfId="7781" xr:uid="{00000000-0005-0000-0000-00008C1E0000}"/>
    <cellStyle name="Normal 8 2 2 2 3 3 2 2 2" xfId="17372" xr:uid="{1B6F3487-1E0D-40A5-B8C1-5631F51AF0A0}"/>
    <cellStyle name="Normal 8 2 2 2 3 3 2 3" xfId="13151" xr:uid="{CE13022F-19E4-4CA1-B00A-129A420D64D2}"/>
    <cellStyle name="Normal 8 2 2 2 3 3 3" xfId="5636" xr:uid="{00000000-0005-0000-0000-00002B160000}"/>
    <cellStyle name="Normal 8 2 2 2 3 3 3 2" xfId="15227" xr:uid="{CBEBD08D-174B-4980-980C-620ECA26241C}"/>
    <cellStyle name="Normal 8 2 2 2 3 3 4" xfId="10922" xr:uid="{E79B1890-703C-471E-8972-C3AEC03FB0B2}"/>
    <cellStyle name="Normal 8 2 2 2 3 4" xfId="1742" xr:uid="{00000000-0005-0000-0000-0000F5060000}"/>
    <cellStyle name="Normal 8 2 2 2 3 4 2" xfId="3972" xr:uid="{00000000-0005-0000-0000-0000AB0F0000}"/>
    <cellStyle name="Normal 8 2 2 2 3 4 2 2" xfId="8194" xr:uid="{00000000-0005-0000-0000-000029200000}"/>
    <cellStyle name="Normal 8 2 2 2 3 4 2 2 2" xfId="17785" xr:uid="{1E5BE05A-50F9-4B24-AADD-CFAD18FA474F}"/>
    <cellStyle name="Normal 8 2 2 2 3 4 2 3" xfId="13564" xr:uid="{33450E51-D864-4977-BC6A-9537302025E3}"/>
    <cellStyle name="Normal 8 2 2 2 3 4 3" xfId="6049" xr:uid="{00000000-0005-0000-0000-0000C8170000}"/>
    <cellStyle name="Normal 8 2 2 2 3 4 3 2" xfId="15640" xr:uid="{110FAE16-D5FA-4BBD-9044-9C132D74143E}"/>
    <cellStyle name="Normal 8 2 2 2 3 4 4" xfId="11335" xr:uid="{7DEF1ABA-A2C6-4111-8309-2DEE5A073A67}"/>
    <cellStyle name="Normal 8 2 2 2 3 5" xfId="2156" xr:uid="{00000000-0005-0000-0000-000093080000}"/>
    <cellStyle name="Normal 8 2 2 2 3 5 2" xfId="4385" xr:uid="{00000000-0005-0000-0000-000048110000}"/>
    <cellStyle name="Normal 8 2 2 2 3 5 2 2" xfId="8607" xr:uid="{00000000-0005-0000-0000-0000C6210000}"/>
    <cellStyle name="Normal 8 2 2 2 3 5 2 2 2" xfId="18198" xr:uid="{E5F8FF6C-E46F-4ED0-AA1F-299530CDD31F}"/>
    <cellStyle name="Normal 8 2 2 2 3 5 2 3" xfId="13977" xr:uid="{5291BF16-044A-44C7-A932-57DD57CDF08D}"/>
    <cellStyle name="Normal 8 2 2 2 3 5 3" xfId="6462" xr:uid="{00000000-0005-0000-0000-000065190000}"/>
    <cellStyle name="Normal 8 2 2 2 3 5 3 2" xfId="16053" xr:uid="{AFDF19FA-0D42-432F-B75F-48AC726DADF9}"/>
    <cellStyle name="Normal 8 2 2 2 3 5 4" xfId="11748" xr:uid="{7BF0CEA5-E821-4744-B888-F3CCB23BEC08}"/>
    <cellStyle name="Normal 8 2 2 2 3 6" xfId="2592" xr:uid="{00000000-0005-0000-0000-0000470A0000}"/>
    <cellStyle name="Normal 8 2 2 2 3 6 2" xfId="6875" xr:uid="{00000000-0005-0000-0000-0000021B0000}"/>
    <cellStyle name="Normal 8 2 2 2 3 6 2 2" xfId="16466" xr:uid="{E62C026C-D1F1-4AFA-903C-4A40F0DA9C4A}"/>
    <cellStyle name="Normal 8 2 2 2 3 6 3" xfId="12184" xr:uid="{CD205566-50A2-49BC-BD1C-44BB811A487A}"/>
    <cellStyle name="Normal 8 2 2 2 3 7" xfId="4810" xr:uid="{00000000-0005-0000-0000-0000F1120000}"/>
    <cellStyle name="Normal 8 2 2 2 3 7 2" xfId="14401" xr:uid="{52C19B20-55F2-463A-AC3B-A1355631C846}"/>
    <cellStyle name="Normal 8 2 2 2 3 8" xfId="9004" xr:uid="{00000000-0005-0000-0000-000053230000}"/>
    <cellStyle name="Normal 8 2 2 2 3 9" xfId="10046" xr:uid="{5F20A929-B39B-4ECE-803F-6898B5A2FB48}"/>
    <cellStyle name="Normal 8 2 2 2 4" xfId="909" xr:uid="{00000000-0005-0000-0000-0000B4030000}"/>
    <cellStyle name="Normal 8 2 2 2 4 2" xfId="3143" xr:uid="{00000000-0005-0000-0000-00006E0C0000}"/>
    <cellStyle name="Normal 8 2 2 2 4 2 2" xfId="7365" xr:uid="{00000000-0005-0000-0000-0000EC1C0000}"/>
    <cellStyle name="Normal 8 2 2 2 4 2 2 2" xfId="16956" xr:uid="{1B84391A-9BC2-4E2B-9176-72F1B9E2F1A6}"/>
    <cellStyle name="Normal 8 2 2 2 4 2 3" xfId="12735" xr:uid="{F7C4A0A9-C7F6-4168-825A-CBE57DE09A88}"/>
    <cellStyle name="Normal 8 2 2 2 4 3" xfId="5220" xr:uid="{00000000-0005-0000-0000-00008B140000}"/>
    <cellStyle name="Normal 8 2 2 2 4 3 2" xfId="14811" xr:uid="{FAC9EFB3-4353-429A-BF34-10010DC85C66}"/>
    <cellStyle name="Normal 8 2 2 2 4 4" xfId="9222" xr:uid="{00000000-0005-0000-0000-00002D240000}"/>
    <cellStyle name="Normal 8 2 2 2 4 5" xfId="10502" xr:uid="{EEBA3C6F-F096-47E8-BCCF-FA043CC1BFBB}"/>
    <cellStyle name="Normal 8 2 2 2 5" xfId="1326" xr:uid="{00000000-0005-0000-0000-000055050000}"/>
    <cellStyle name="Normal 8 2 2 2 5 2" xfId="3556" xr:uid="{00000000-0005-0000-0000-00000B0E0000}"/>
    <cellStyle name="Normal 8 2 2 2 5 2 2" xfId="7778" xr:uid="{00000000-0005-0000-0000-0000891E0000}"/>
    <cellStyle name="Normal 8 2 2 2 5 2 2 2" xfId="17369" xr:uid="{1F88C432-5D95-480B-A152-8973935F7E43}"/>
    <cellStyle name="Normal 8 2 2 2 5 2 3" xfId="13148" xr:uid="{21D2AA5F-70C0-4274-9569-F9A334E7C7D1}"/>
    <cellStyle name="Normal 8 2 2 2 5 3" xfId="5633" xr:uid="{00000000-0005-0000-0000-000028160000}"/>
    <cellStyle name="Normal 8 2 2 2 5 3 2" xfId="15224" xr:uid="{0D8472F2-0BD5-4AA9-9C23-2B1D549FF150}"/>
    <cellStyle name="Normal 8 2 2 2 5 4" xfId="10919" xr:uid="{3939308F-B679-4818-B7B2-5DCD2D1E13B7}"/>
    <cellStyle name="Normal 8 2 2 2 6" xfId="1739" xr:uid="{00000000-0005-0000-0000-0000F2060000}"/>
    <cellStyle name="Normal 8 2 2 2 6 2" xfId="3969" xr:uid="{00000000-0005-0000-0000-0000A80F0000}"/>
    <cellStyle name="Normal 8 2 2 2 6 2 2" xfId="8191" xr:uid="{00000000-0005-0000-0000-000026200000}"/>
    <cellStyle name="Normal 8 2 2 2 6 2 2 2" xfId="17782" xr:uid="{CF95C169-C583-46EC-99CC-31933A442C40}"/>
    <cellStyle name="Normal 8 2 2 2 6 2 3" xfId="13561" xr:uid="{F4BF3B1B-9F13-4D72-A249-2498AB225B56}"/>
    <cellStyle name="Normal 8 2 2 2 6 3" xfId="6046" xr:uid="{00000000-0005-0000-0000-0000C5170000}"/>
    <cellStyle name="Normal 8 2 2 2 6 3 2" xfId="15637" xr:uid="{7A1B295E-CDCF-4902-85BD-8BB761957A8E}"/>
    <cellStyle name="Normal 8 2 2 2 6 4" xfId="11332" xr:uid="{A9452AAF-4E17-4F8B-AD9D-AF97BC2B37DE}"/>
    <cellStyle name="Normal 8 2 2 2 7" xfId="2153" xr:uid="{00000000-0005-0000-0000-000090080000}"/>
    <cellStyle name="Normal 8 2 2 2 7 2" xfId="4382" xr:uid="{00000000-0005-0000-0000-000045110000}"/>
    <cellStyle name="Normal 8 2 2 2 7 2 2" xfId="8604" xr:uid="{00000000-0005-0000-0000-0000C3210000}"/>
    <cellStyle name="Normal 8 2 2 2 7 2 2 2" xfId="18195" xr:uid="{B1764B5E-364E-4A8E-B314-951B828FB66B}"/>
    <cellStyle name="Normal 8 2 2 2 7 2 3" xfId="13974" xr:uid="{22D8CCF4-0258-416F-A481-8E922168F2EB}"/>
    <cellStyle name="Normal 8 2 2 2 7 3" xfId="6459" xr:uid="{00000000-0005-0000-0000-000062190000}"/>
    <cellStyle name="Normal 8 2 2 2 7 3 2" xfId="16050" xr:uid="{652A35C6-6C36-4910-8BE8-698899181B8D}"/>
    <cellStyle name="Normal 8 2 2 2 7 4" xfId="11745" xr:uid="{A0427FFE-9B84-4134-A598-D27AA806DA74}"/>
    <cellStyle name="Normal 8 2 2 2 8" xfId="2589" xr:uid="{00000000-0005-0000-0000-0000440A0000}"/>
    <cellStyle name="Normal 8 2 2 2 8 2" xfId="6872" xr:uid="{00000000-0005-0000-0000-0000FF1A0000}"/>
    <cellStyle name="Normal 8 2 2 2 8 2 2" xfId="16463" xr:uid="{20058DC6-F609-4A50-84C1-936A32DDB0CF}"/>
    <cellStyle name="Normal 8 2 2 2 8 3" xfId="12181" xr:uid="{892864B3-AA64-4C05-A64E-0C52393ABE5C}"/>
    <cellStyle name="Normal 8 2 2 2 9" xfId="4807" xr:uid="{00000000-0005-0000-0000-0000EE120000}"/>
    <cellStyle name="Normal 8 2 2 2 9 2" xfId="14398" xr:uid="{BD231ED7-F47F-41C4-A763-657CA59BD6C7}"/>
    <cellStyle name="Normal 8 2 2 3" xfId="449" xr:uid="{00000000-0005-0000-0000-0000E5010000}"/>
    <cellStyle name="Normal 8 2 2 3 10" xfId="10047" xr:uid="{D0C4530B-1768-41A7-B85D-DEE1FA92D4AD}"/>
    <cellStyle name="Normal 8 2 2 3 2" xfId="450" xr:uid="{00000000-0005-0000-0000-0000E6010000}"/>
    <cellStyle name="Normal 8 2 2 3 2 2" xfId="914" xr:uid="{00000000-0005-0000-0000-0000B9030000}"/>
    <cellStyle name="Normal 8 2 2 3 2 2 2" xfId="3148" xr:uid="{00000000-0005-0000-0000-0000730C0000}"/>
    <cellStyle name="Normal 8 2 2 3 2 2 2 2" xfId="7370" xr:uid="{00000000-0005-0000-0000-0000F11C0000}"/>
    <cellStyle name="Normal 8 2 2 3 2 2 2 2 2" xfId="16961" xr:uid="{FB6FA962-2075-4E7A-9461-0015E2F73B9B}"/>
    <cellStyle name="Normal 8 2 2 3 2 2 2 3" xfId="12740" xr:uid="{EDDE8B34-A056-42F2-B32B-23227B6EAAE7}"/>
    <cellStyle name="Normal 8 2 2 3 2 2 3" xfId="5225" xr:uid="{00000000-0005-0000-0000-000090140000}"/>
    <cellStyle name="Normal 8 2 2 3 2 2 3 2" xfId="14816" xr:uid="{A7AADC05-943F-4E8A-8C8D-14B68B779BC3}"/>
    <cellStyle name="Normal 8 2 2 3 2 2 4" xfId="9479" xr:uid="{00000000-0005-0000-0000-00002E250000}"/>
    <cellStyle name="Normal 8 2 2 3 2 2 5" xfId="10507" xr:uid="{DEB150C0-99EC-4E28-B666-E7B7A890B056}"/>
    <cellStyle name="Normal 8 2 2 3 2 3" xfId="1331" xr:uid="{00000000-0005-0000-0000-00005A050000}"/>
    <cellStyle name="Normal 8 2 2 3 2 3 2" xfId="3561" xr:uid="{00000000-0005-0000-0000-0000100E0000}"/>
    <cellStyle name="Normal 8 2 2 3 2 3 2 2" xfId="7783" xr:uid="{00000000-0005-0000-0000-00008E1E0000}"/>
    <cellStyle name="Normal 8 2 2 3 2 3 2 2 2" xfId="17374" xr:uid="{E5EF58A5-C5C8-4C7B-8F07-E892A3362D30}"/>
    <cellStyle name="Normal 8 2 2 3 2 3 2 3" xfId="13153" xr:uid="{BF6E158B-3BB0-494E-ABBA-7AAD9F5ACFC0}"/>
    <cellStyle name="Normal 8 2 2 3 2 3 3" xfId="5638" xr:uid="{00000000-0005-0000-0000-00002D160000}"/>
    <cellStyle name="Normal 8 2 2 3 2 3 3 2" xfId="15229" xr:uid="{27674A1A-C653-4581-B72C-55106ED62FEF}"/>
    <cellStyle name="Normal 8 2 2 3 2 3 4" xfId="10924" xr:uid="{1604C583-1C7E-4BF2-99B5-61CA1891F779}"/>
    <cellStyle name="Normal 8 2 2 3 2 4" xfId="1744" xr:uid="{00000000-0005-0000-0000-0000F7060000}"/>
    <cellStyle name="Normal 8 2 2 3 2 4 2" xfId="3974" xr:uid="{00000000-0005-0000-0000-0000AD0F0000}"/>
    <cellStyle name="Normal 8 2 2 3 2 4 2 2" xfId="8196" xr:uid="{00000000-0005-0000-0000-00002B200000}"/>
    <cellStyle name="Normal 8 2 2 3 2 4 2 2 2" xfId="17787" xr:uid="{A7ECFAAD-C62D-49BA-BA67-95BFFA98E081}"/>
    <cellStyle name="Normal 8 2 2 3 2 4 2 3" xfId="13566" xr:uid="{564969BF-D470-4A0D-A422-891A2CB4617D}"/>
    <cellStyle name="Normal 8 2 2 3 2 4 3" xfId="6051" xr:uid="{00000000-0005-0000-0000-0000CA170000}"/>
    <cellStyle name="Normal 8 2 2 3 2 4 3 2" xfId="15642" xr:uid="{0B412A18-362A-45B7-9A68-51D9ACEA0807}"/>
    <cellStyle name="Normal 8 2 2 3 2 4 4" xfId="11337" xr:uid="{4D1A51C5-BC94-4E82-9FA3-37BFE0D5CE53}"/>
    <cellStyle name="Normal 8 2 2 3 2 5" xfId="2158" xr:uid="{00000000-0005-0000-0000-000095080000}"/>
    <cellStyle name="Normal 8 2 2 3 2 5 2" xfId="4387" xr:uid="{00000000-0005-0000-0000-00004A110000}"/>
    <cellStyle name="Normal 8 2 2 3 2 5 2 2" xfId="8609" xr:uid="{00000000-0005-0000-0000-0000C8210000}"/>
    <cellStyle name="Normal 8 2 2 3 2 5 2 2 2" xfId="18200" xr:uid="{4DFCDEA5-E26E-4D05-9D38-3918D2527CF8}"/>
    <cellStyle name="Normal 8 2 2 3 2 5 2 3" xfId="13979" xr:uid="{4F4EDA6A-6136-4B1C-B3C1-A32E96CD2865}"/>
    <cellStyle name="Normal 8 2 2 3 2 5 3" xfId="6464" xr:uid="{00000000-0005-0000-0000-000067190000}"/>
    <cellStyle name="Normal 8 2 2 3 2 5 3 2" xfId="16055" xr:uid="{438AA7A2-5E19-401A-A28D-66B51CFDB7DB}"/>
    <cellStyle name="Normal 8 2 2 3 2 5 4" xfId="11750" xr:uid="{52459C00-4CFB-4486-A132-AA4ADBAD18FC}"/>
    <cellStyle name="Normal 8 2 2 3 2 6" xfId="2594" xr:uid="{00000000-0005-0000-0000-0000490A0000}"/>
    <cellStyle name="Normal 8 2 2 3 2 6 2" xfId="6877" xr:uid="{00000000-0005-0000-0000-0000041B0000}"/>
    <cellStyle name="Normal 8 2 2 3 2 6 2 2" xfId="16468" xr:uid="{6A5E6AFD-297A-4BDF-8F80-E6A4F333B1C8}"/>
    <cellStyle name="Normal 8 2 2 3 2 6 3" xfId="12186" xr:uid="{BB936AC4-09AC-40B3-9E26-081F892A03E7}"/>
    <cellStyle name="Normal 8 2 2 3 2 7" xfId="4812" xr:uid="{00000000-0005-0000-0000-0000F3120000}"/>
    <cellStyle name="Normal 8 2 2 3 2 7 2" xfId="14403" xr:uid="{D066ABBC-645E-453D-A569-5800FC3E54DE}"/>
    <cellStyle name="Normal 8 2 2 3 2 8" xfId="9054" xr:uid="{00000000-0005-0000-0000-000085230000}"/>
    <cellStyle name="Normal 8 2 2 3 2 9" xfId="10048" xr:uid="{BBD2287B-70CF-43BF-90CB-7A87652A51A6}"/>
    <cellStyle name="Normal 8 2 2 3 3" xfId="913" xr:uid="{00000000-0005-0000-0000-0000B8030000}"/>
    <cellStyle name="Normal 8 2 2 3 3 2" xfId="3147" xr:uid="{00000000-0005-0000-0000-0000720C0000}"/>
    <cellStyle name="Normal 8 2 2 3 3 2 2" xfId="7369" xr:uid="{00000000-0005-0000-0000-0000F01C0000}"/>
    <cellStyle name="Normal 8 2 2 3 3 2 2 2" xfId="16960" xr:uid="{C7E6574F-4F2D-4B43-9DB0-D81DCAFA4A3A}"/>
    <cellStyle name="Normal 8 2 2 3 3 2 3" xfId="12739" xr:uid="{22A70CCC-4CBB-43DF-BF51-BAB8C8C9E8F9}"/>
    <cellStyle name="Normal 8 2 2 3 3 3" xfId="5224" xr:uid="{00000000-0005-0000-0000-00008F140000}"/>
    <cellStyle name="Normal 8 2 2 3 3 3 2" xfId="14815" xr:uid="{C7987DCB-419D-4E01-9AB9-234CFE181574}"/>
    <cellStyle name="Normal 8 2 2 3 3 4" xfId="9272" xr:uid="{00000000-0005-0000-0000-00005F240000}"/>
    <cellStyle name="Normal 8 2 2 3 3 5" xfId="10506" xr:uid="{530F8507-CF1E-40E8-B2F1-72F1AEEA3503}"/>
    <cellStyle name="Normal 8 2 2 3 4" xfId="1330" xr:uid="{00000000-0005-0000-0000-000059050000}"/>
    <cellStyle name="Normal 8 2 2 3 4 2" xfId="3560" xr:uid="{00000000-0005-0000-0000-00000F0E0000}"/>
    <cellStyle name="Normal 8 2 2 3 4 2 2" xfId="7782" xr:uid="{00000000-0005-0000-0000-00008D1E0000}"/>
    <cellStyle name="Normal 8 2 2 3 4 2 2 2" xfId="17373" xr:uid="{61E4AB25-61A5-49BE-A774-9D7A41FF0C60}"/>
    <cellStyle name="Normal 8 2 2 3 4 2 3" xfId="13152" xr:uid="{C327FD89-AC56-43C1-BB36-5FD0EFEE378A}"/>
    <cellStyle name="Normal 8 2 2 3 4 3" xfId="5637" xr:uid="{00000000-0005-0000-0000-00002C160000}"/>
    <cellStyle name="Normal 8 2 2 3 4 3 2" xfId="15228" xr:uid="{7A7D89EA-12EB-42EB-B63F-81AF2EBEF21D}"/>
    <cellStyle name="Normal 8 2 2 3 4 4" xfId="10923" xr:uid="{6AA063D0-99D3-4B7C-9737-B8AEA7962D37}"/>
    <cellStyle name="Normal 8 2 2 3 5" xfId="1743" xr:uid="{00000000-0005-0000-0000-0000F6060000}"/>
    <cellStyle name="Normal 8 2 2 3 5 2" xfId="3973" xr:uid="{00000000-0005-0000-0000-0000AC0F0000}"/>
    <cellStyle name="Normal 8 2 2 3 5 2 2" xfId="8195" xr:uid="{00000000-0005-0000-0000-00002A200000}"/>
    <cellStyle name="Normal 8 2 2 3 5 2 2 2" xfId="17786" xr:uid="{C09DEB3F-2456-4A53-88F9-133DE4C1483B}"/>
    <cellStyle name="Normal 8 2 2 3 5 2 3" xfId="13565" xr:uid="{5BF0F655-4A6C-4100-9C7C-C45FC0FCEB98}"/>
    <cellStyle name="Normal 8 2 2 3 5 3" xfId="6050" xr:uid="{00000000-0005-0000-0000-0000C9170000}"/>
    <cellStyle name="Normal 8 2 2 3 5 3 2" xfId="15641" xr:uid="{71B2165E-4D3D-4EEF-94EF-71EA1AAC03A6}"/>
    <cellStyle name="Normal 8 2 2 3 5 4" xfId="11336" xr:uid="{04D9B967-FD0E-453C-8C9B-D3F9FF129CA0}"/>
    <cellStyle name="Normal 8 2 2 3 6" xfId="2157" xr:uid="{00000000-0005-0000-0000-000094080000}"/>
    <cellStyle name="Normal 8 2 2 3 6 2" xfId="4386" xr:uid="{00000000-0005-0000-0000-000049110000}"/>
    <cellStyle name="Normal 8 2 2 3 6 2 2" xfId="8608" xr:uid="{00000000-0005-0000-0000-0000C7210000}"/>
    <cellStyle name="Normal 8 2 2 3 6 2 2 2" xfId="18199" xr:uid="{1F450B5A-3B8D-455C-8813-1C0C9A8181E7}"/>
    <cellStyle name="Normal 8 2 2 3 6 2 3" xfId="13978" xr:uid="{A27C3B75-DC02-4A69-BB95-E3BD15970638}"/>
    <cellStyle name="Normal 8 2 2 3 6 3" xfId="6463" xr:uid="{00000000-0005-0000-0000-000066190000}"/>
    <cellStyle name="Normal 8 2 2 3 6 3 2" xfId="16054" xr:uid="{2237FDF2-F811-4238-A1D0-CF4FAC40E3F8}"/>
    <cellStyle name="Normal 8 2 2 3 6 4" xfId="11749" xr:uid="{97C895AA-D69A-4E86-BCDE-5F69360AA7E5}"/>
    <cellStyle name="Normal 8 2 2 3 7" xfId="2593" xr:uid="{00000000-0005-0000-0000-0000480A0000}"/>
    <cellStyle name="Normal 8 2 2 3 7 2" xfId="6876" xr:uid="{00000000-0005-0000-0000-0000031B0000}"/>
    <cellStyle name="Normal 8 2 2 3 7 2 2" xfId="16467" xr:uid="{95B5A594-FFE5-46F2-B84F-3757711E5950}"/>
    <cellStyle name="Normal 8 2 2 3 7 3" xfId="12185" xr:uid="{F95B1DA4-5E17-46BC-AB47-52EA04631419}"/>
    <cellStyle name="Normal 8 2 2 3 8" xfId="4811" xr:uid="{00000000-0005-0000-0000-0000F2120000}"/>
    <cellStyle name="Normal 8 2 2 3 8 2" xfId="14402" xr:uid="{25C93910-89C9-41BE-9484-865B9B4DCE9E}"/>
    <cellStyle name="Normal 8 2 2 3 9" xfId="8847" xr:uid="{00000000-0005-0000-0000-0000B6220000}"/>
    <cellStyle name="Normal 8 2 2 4" xfId="451" xr:uid="{00000000-0005-0000-0000-0000E7010000}"/>
    <cellStyle name="Normal 8 2 2 4 2" xfId="915" xr:uid="{00000000-0005-0000-0000-0000BA030000}"/>
    <cellStyle name="Normal 8 2 2 4 2 2" xfId="3149" xr:uid="{00000000-0005-0000-0000-0000740C0000}"/>
    <cellStyle name="Normal 8 2 2 4 2 2 2" xfId="7371" xr:uid="{00000000-0005-0000-0000-0000F21C0000}"/>
    <cellStyle name="Normal 8 2 2 4 2 2 2 2" xfId="16962" xr:uid="{B1082FCD-01D3-4012-8231-BCEC53924948}"/>
    <cellStyle name="Normal 8 2 2 4 2 2 3" xfId="12741" xr:uid="{64437FD2-9B10-40BC-B84C-ACDA1DDAAD18}"/>
    <cellStyle name="Normal 8 2 2 4 2 3" xfId="5226" xr:uid="{00000000-0005-0000-0000-000091140000}"/>
    <cellStyle name="Normal 8 2 2 4 2 3 2" xfId="14817" xr:uid="{FD7ED3F7-D7D4-4627-AA2B-3D99C1DD06C1}"/>
    <cellStyle name="Normal 8 2 2 4 2 4" xfId="9376" xr:uid="{00000000-0005-0000-0000-0000C7240000}"/>
    <cellStyle name="Normal 8 2 2 4 2 5" xfId="10508" xr:uid="{6182F2A6-7D15-49E9-B7D5-66B3EFAFBF23}"/>
    <cellStyle name="Normal 8 2 2 4 3" xfId="1332" xr:uid="{00000000-0005-0000-0000-00005B050000}"/>
    <cellStyle name="Normal 8 2 2 4 3 2" xfId="3562" xr:uid="{00000000-0005-0000-0000-0000110E0000}"/>
    <cellStyle name="Normal 8 2 2 4 3 2 2" xfId="7784" xr:uid="{00000000-0005-0000-0000-00008F1E0000}"/>
    <cellStyle name="Normal 8 2 2 4 3 2 2 2" xfId="17375" xr:uid="{C1F0C343-FC32-4E64-8D68-6B3F4EE148A4}"/>
    <cellStyle name="Normal 8 2 2 4 3 2 3" xfId="13154" xr:uid="{8C61D3D4-8931-4C74-8301-39B082E95964}"/>
    <cellStyle name="Normal 8 2 2 4 3 3" xfId="5639" xr:uid="{00000000-0005-0000-0000-00002E160000}"/>
    <cellStyle name="Normal 8 2 2 4 3 3 2" xfId="15230" xr:uid="{142FDDBF-A9A6-48FD-9B17-D072F5EA6DA9}"/>
    <cellStyle name="Normal 8 2 2 4 3 4" xfId="10925" xr:uid="{4B7E7983-2D1A-4659-A6AE-5398D141F75E}"/>
    <cellStyle name="Normal 8 2 2 4 4" xfId="1745" xr:uid="{00000000-0005-0000-0000-0000F8060000}"/>
    <cellStyle name="Normal 8 2 2 4 4 2" xfId="3975" xr:uid="{00000000-0005-0000-0000-0000AE0F0000}"/>
    <cellStyle name="Normal 8 2 2 4 4 2 2" xfId="8197" xr:uid="{00000000-0005-0000-0000-00002C200000}"/>
    <cellStyle name="Normal 8 2 2 4 4 2 2 2" xfId="17788" xr:uid="{F519524B-E12B-4959-8060-7D03B56D3B83}"/>
    <cellStyle name="Normal 8 2 2 4 4 2 3" xfId="13567" xr:uid="{6DEEB739-6A7F-40E3-A8C2-0E034EA671BE}"/>
    <cellStyle name="Normal 8 2 2 4 4 3" xfId="6052" xr:uid="{00000000-0005-0000-0000-0000CB170000}"/>
    <cellStyle name="Normal 8 2 2 4 4 3 2" xfId="15643" xr:uid="{6F495992-9D2C-4E45-9C83-3DF6E8819B42}"/>
    <cellStyle name="Normal 8 2 2 4 4 4" xfId="11338" xr:uid="{B205C3E5-9B04-4847-A3C4-B333630D4D58}"/>
    <cellStyle name="Normal 8 2 2 4 5" xfId="2159" xr:uid="{00000000-0005-0000-0000-000096080000}"/>
    <cellStyle name="Normal 8 2 2 4 5 2" xfId="4388" xr:uid="{00000000-0005-0000-0000-00004B110000}"/>
    <cellStyle name="Normal 8 2 2 4 5 2 2" xfId="8610" xr:uid="{00000000-0005-0000-0000-0000C9210000}"/>
    <cellStyle name="Normal 8 2 2 4 5 2 2 2" xfId="18201" xr:uid="{528722F7-01FA-4A2C-9C40-D8D641C2B5E5}"/>
    <cellStyle name="Normal 8 2 2 4 5 2 3" xfId="13980" xr:uid="{273D8ADA-66A6-43D0-840C-2880C5B6D955}"/>
    <cellStyle name="Normal 8 2 2 4 5 3" xfId="6465" xr:uid="{00000000-0005-0000-0000-000068190000}"/>
    <cellStyle name="Normal 8 2 2 4 5 3 2" xfId="16056" xr:uid="{03CD7422-6302-4DFC-B1BC-6084C39B79C4}"/>
    <cellStyle name="Normal 8 2 2 4 5 4" xfId="11751" xr:uid="{58963971-7135-4F09-9E02-276784FFF4A3}"/>
    <cellStyle name="Normal 8 2 2 4 6" xfId="2595" xr:uid="{00000000-0005-0000-0000-00004A0A0000}"/>
    <cellStyle name="Normal 8 2 2 4 6 2" xfId="6878" xr:uid="{00000000-0005-0000-0000-0000051B0000}"/>
    <cellStyle name="Normal 8 2 2 4 6 2 2" xfId="16469" xr:uid="{D0D2D1C9-A01D-4DF3-B774-1943F1A2DF08}"/>
    <cellStyle name="Normal 8 2 2 4 6 3" xfId="12187" xr:uid="{420CE25A-7DC1-475A-9F5D-3CE3C8F68795}"/>
    <cellStyle name="Normal 8 2 2 4 7" xfId="4813" xr:uid="{00000000-0005-0000-0000-0000F4120000}"/>
    <cellStyle name="Normal 8 2 2 4 7 2" xfId="14404" xr:uid="{3D42CB1A-1C43-4049-A614-3C610253FFB8}"/>
    <cellStyle name="Normal 8 2 2 4 8" xfId="8951" xr:uid="{00000000-0005-0000-0000-00001E230000}"/>
    <cellStyle name="Normal 8 2 2 4 9" xfId="10049" xr:uid="{B5BBA402-CD5D-4A3F-8A7E-3D6AC5712B2D}"/>
    <cellStyle name="Normal 8 2 2 5" xfId="908" xr:uid="{00000000-0005-0000-0000-0000B3030000}"/>
    <cellStyle name="Normal 8 2 2 5 2" xfId="3142" xr:uid="{00000000-0005-0000-0000-00006D0C0000}"/>
    <cellStyle name="Normal 8 2 2 5 2 2" xfId="7364" xr:uid="{00000000-0005-0000-0000-0000EB1C0000}"/>
    <cellStyle name="Normal 8 2 2 5 2 2 2" xfId="16955" xr:uid="{BD9BFE51-07FD-42B9-BC60-AC4269024690}"/>
    <cellStyle name="Normal 8 2 2 5 2 3" xfId="12734" xr:uid="{7D110374-6C76-434D-A513-25E0208940C2}"/>
    <cellStyle name="Normal 8 2 2 5 3" xfId="5219" xr:uid="{00000000-0005-0000-0000-00008A140000}"/>
    <cellStyle name="Normal 8 2 2 5 3 2" xfId="14810" xr:uid="{5415DE50-A712-49B2-993B-808557B6BA35}"/>
    <cellStyle name="Normal 8 2 2 5 4" xfId="9168" xr:uid="{00000000-0005-0000-0000-0000F7230000}"/>
    <cellStyle name="Normal 8 2 2 5 5" xfId="10501" xr:uid="{18C2953F-FCD0-4E2E-B2A5-8D40A18C7D36}"/>
    <cellStyle name="Normal 8 2 2 6" xfId="1325" xr:uid="{00000000-0005-0000-0000-000054050000}"/>
    <cellStyle name="Normal 8 2 2 6 2" xfId="3555" xr:uid="{00000000-0005-0000-0000-00000A0E0000}"/>
    <cellStyle name="Normal 8 2 2 6 2 2" xfId="7777" xr:uid="{00000000-0005-0000-0000-0000881E0000}"/>
    <cellStyle name="Normal 8 2 2 6 2 2 2" xfId="17368" xr:uid="{D11ABEE5-1744-4EE7-A711-7B0B48276072}"/>
    <cellStyle name="Normal 8 2 2 6 2 3" xfId="13147" xr:uid="{EC3C8989-00AC-4CAF-B367-A4EA35CF3F86}"/>
    <cellStyle name="Normal 8 2 2 6 3" xfId="5632" xr:uid="{00000000-0005-0000-0000-000027160000}"/>
    <cellStyle name="Normal 8 2 2 6 3 2" xfId="15223" xr:uid="{A90DC4B4-E970-4C39-B490-D3EC203F905D}"/>
    <cellStyle name="Normal 8 2 2 6 4" xfId="10918" xr:uid="{FA3D9F06-06A0-4256-B1AD-6E6876DD5D42}"/>
    <cellStyle name="Normal 8 2 2 7" xfId="1738" xr:uid="{00000000-0005-0000-0000-0000F1060000}"/>
    <cellStyle name="Normal 8 2 2 7 2" xfId="3968" xr:uid="{00000000-0005-0000-0000-0000A70F0000}"/>
    <cellStyle name="Normal 8 2 2 7 2 2" xfId="8190" xr:uid="{00000000-0005-0000-0000-000025200000}"/>
    <cellStyle name="Normal 8 2 2 7 2 2 2" xfId="17781" xr:uid="{C44CD101-BAEF-4CC4-AE62-E02FC774A516}"/>
    <cellStyle name="Normal 8 2 2 7 2 3" xfId="13560" xr:uid="{1283CC9B-E700-4F46-87E9-44301ABDCB76}"/>
    <cellStyle name="Normal 8 2 2 7 3" xfId="6045" xr:uid="{00000000-0005-0000-0000-0000C4170000}"/>
    <cellStyle name="Normal 8 2 2 7 3 2" xfId="15636" xr:uid="{A507D464-E7AE-4719-8C7C-3558CA29EFE7}"/>
    <cellStyle name="Normal 8 2 2 7 4" xfId="11331" xr:uid="{0CB0E8E2-CADA-44B5-BCCD-973A70A59EDB}"/>
    <cellStyle name="Normal 8 2 2 8" xfId="2152" xr:uid="{00000000-0005-0000-0000-00008F080000}"/>
    <cellStyle name="Normal 8 2 2 8 2" xfId="4381" xr:uid="{00000000-0005-0000-0000-000044110000}"/>
    <cellStyle name="Normal 8 2 2 8 2 2" xfId="8603" xr:uid="{00000000-0005-0000-0000-0000C2210000}"/>
    <cellStyle name="Normal 8 2 2 8 2 2 2" xfId="18194" xr:uid="{5BE51BE3-DB79-40F2-8F64-1325FDDF6C88}"/>
    <cellStyle name="Normal 8 2 2 8 2 3" xfId="13973" xr:uid="{A018FC04-C392-48F0-A8A4-74B3700061B5}"/>
    <cellStyle name="Normal 8 2 2 8 3" xfId="6458" xr:uid="{00000000-0005-0000-0000-000061190000}"/>
    <cellStyle name="Normal 8 2 2 8 3 2" xfId="16049" xr:uid="{E4373BCA-9C67-4C59-A249-2F4BD5DC3773}"/>
    <cellStyle name="Normal 8 2 2 8 4" xfId="11744" xr:uid="{FE0CF918-05F3-42A5-8C33-E273757DF427}"/>
    <cellStyle name="Normal 8 2 2 9" xfId="2588" xr:uid="{00000000-0005-0000-0000-0000430A0000}"/>
    <cellStyle name="Normal 8 2 2 9 2" xfId="6871" xr:uid="{00000000-0005-0000-0000-0000FE1A0000}"/>
    <cellStyle name="Normal 8 2 2 9 2 2" xfId="16462" xr:uid="{72754939-A355-46BF-8BF9-2F83A96627C9}"/>
    <cellStyle name="Normal 8 2 2 9 3" xfId="12180" xr:uid="{59B6B2D6-E200-4AC4-8A95-51EE1A09B5FF}"/>
    <cellStyle name="Normal 8 2 3" xfId="452" xr:uid="{00000000-0005-0000-0000-0000E8010000}"/>
    <cellStyle name="Normal 8 2 3 10" xfId="8796" xr:uid="{00000000-0005-0000-0000-000083220000}"/>
    <cellStyle name="Normal 8 2 3 11" xfId="10050" xr:uid="{CDB75DD4-15F4-462D-AA94-BF6CE6CA9A66}"/>
    <cellStyle name="Normal 8 2 3 2" xfId="453" xr:uid="{00000000-0005-0000-0000-0000E9010000}"/>
    <cellStyle name="Normal 8 2 3 2 10" xfId="10051" xr:uid="{CDCF01BB-7CE7-4FF6-B36A-27FC72EBBDE2}"/>
    <cellStyle name="Normal 8 2 3 2 2" xfId="454" xr:uid="{00000000-0005-0000-0000-0000EA010000}"/>
    <cellStyle name="Normal 8 2 3 2 2 2" xfId="918" xr:uid="{00000000-0005-0000-0000-0000BD030000}"/>
    <cellStyle name="Normal 8 2 3 2 2 2 2" xfId="3152" xr:uid="{00000000-0005-0000-0000-0000770C0000}"/>
    <cellStyle name="Normal 8 2 3 2 2 2 2 2" xfId="7374" xr:uid="{00000000-0005-0000-0000-0000F51C0000}"/>
    <cellStyle name="Normal 8 2 3 2 2 2 2 2 2" xfId="16965" xr:uid="{8D0BC0EF-C96E-4B60-B582-50DFC83FEA95}"/>
    <cellStyle name="Normal 8 2 3 2 2 2 2 3" xfId="12744" xr:uid="{4FCA45F6-D5EF-4532-9AE3-0191BFC32F63}"/>
    <cellStyle name="Normal 8 2 3 2 2 2 3" xfId="5229" xr:uid="{00000000-0005-0000-0000-000094140000}"/>
    <cellStyle name="Normal 8 2 3 2 2 2 3 2" xfId="14820" xr:uid="{06EEC2D4-A615-499D-BB2F-BB6E4F6DA19C}"/>
    <cellStyle name="Normal 8 2 3 2 2 2 4" xfId="9531" xr:uid="{00000000-0005-0000-0000-000062250000}"/>
    <cellStyle name="Normal 8 2 3 2 2 2 5" xfId="10511" xr:uid="{DDA3EF9B-74CE-42AD-B9DF-3F5BDB4CF877}"/>
    <cellStyle name="Normal 8 2 3 2 2 3" xfId="1335" xr:uid="{00000000-0005-0000-0000-00005E050000}"/>
    <cellStyle name="Normal 8 2 3 2 2 3 2" xfId="3565" xr:uid="{00000000-0005-0000-0000-0000140E0000}"/>
    <cellStyle name="Normal 8 2 3 2 2 3 2 2" xfId="7787" xr:uid="{00000000-0005-0000-0000-0000921E0000}"/>
    <cellStyle name="Normal 8 2 3 2 2 3 2 2 2" xfId="17378" xr:uid="{DB7D73D8-AB4B-4865-8EE8-76F4AFA5A832}"/>
    <cellStyle name="Normal 8 2 3 2 2 3 2 3" xfId="13157" xr:uid="{19B6C871-232C-4BBD-B5F4-13C1AC25B050}"/>
    <cellStyle name="Normal 8 2 3 2 2 3 3" xfId="5642" xr:uid="{00000000-0005-0000-0000-000031160000}"/>
    <cellStyle name="Normal 8 2 3 2 2 3 3 2" xfId="15233" xr:uid="{C8550957-0B02-4A6A-99ED-B2242178A197}"/>
    <cellStyle name="Normal 8 2 3 2 2 3 4" xfId="10928" xr:uid="{0529C2CA-EE4D-4E74-97D1-7D648429C2C0}"/>
    <cellStyle name="Normal 8 2 3 2 2 4" xfId="1748" xr:uid="{00000000-0005-0000-0000-0000FB060000}"/>
    <cellStyle name="Normal 8 2 3 2 2 4 2" xfId="3978" xr:uid="{00000000-0005-0000-0000-0000B10F0000}"/>
    <cellStyle name="Normal 8 2 3 2 2 4 2 2" xfId="8200" xr:uid="{00000000-0005-0000-0000-00002F200000}"/>
    <cellStyle name="Normal 8 2 3 2 2 4 2 2 2" xfId="17791" xr:uid="{62E9A36A-CFDC-47B4-98F8-4F49015A0253}"/>
    <cellStyle name="Normal 8 2 3 2 2 4 2 3" xfId="13570" xr:uid="{E7D4351C-99A7-4D32-A347-BF7F8FE623B5}"/>
    <cellStyle name="Normal 8 2 3 2 2 4 3" xfId="6055" xr:uid="{00000000-0005-0000-0000-0000CE170000}"/>
    <cellStyle name="Normal 8 2 3 2 2 4 3 2" xfId="15646" xr:uid="{4E13E310-B624-45A5-BA2E-326E4CE374A8}"/>
    <cellStyle name="Normal 8 2 3 2 2 4 4" xfId="11341" xr:uid="{A62FF7BD-3D2C-44FF-BB21-FC2CC7B0EE55}"/>
    <cellStyle name="Normal 8 2 3 2 2 5" xfId="2162" xr:uid="{00000000-0005-0000-0000-000099080000}"/>
    <cellStyle name="Normal 8 2 3 2 2 5 2" xfId="4391" xr:uid="{00000000-0005-0000-0000-00004E110000}"/>
    <cellStyle name="Normal 8 2 3 2 2 5 2 2" xfId="8613" xr:uid="{00000000-0005-0000-0000-0000CC210000}"/>
    <cellStyle name="Normal 8 2 3 2 2 5 2 2 2" xfId="18204" xr:uid="{E5DD693F-46EF-4B65-9D63-9313D9531454}"/>
    <cellStyle name="Normal 8 2 3 2 2 5 2 3" xfId="13983" xr:uid="{D0FFEA09-5902-43F9-8947-492D9D0CE7EF}"/>
    <cellStyle name="Normal 8 2 3 2 2 5 3" xfId="6468" xr:uid="{00000000-0005-0000-0000-00006B190000}"/>
    <cellStyle name="Normal 8 2 3 2 2 5 3 2" xfId="16059" xr:uid="{FD8815B7-52E1-4D7C-B83E-A627F9C8D213}"/>
    <cellStyle name="Normal 8 2 3 2 2 5 4" xfId="11754" xr:uid="{423945E0-D649-40BE-B40A-90983FDCCF8E}"/>
    <cellStyle name="Normal 8 2 3 2 2 6" xfId="2598" xr:uid="{00000000-0005-0000-0000-00004D0A0000}"/>
    <cellStyle name="Normal 8 2 3 2 2 6 2" xfId="6881" xr:uid="{00000000-0005-0000-0000-0000081B0000}"/>
    <cellStyle name="Normal 8 2 3 2 2 6 2 2" xfId="16472" xr:uid="{C71414F2-556F-446D-96F5-01F35FE63B29}"/>
    <cellStyle name="Normal 8 2 3 2 2 6 3" xfId="12190" xr:uid="{C223518F-10C9-4546-944B-27405207FC54}"/>
    <cellStyle name="Normal 8 2 3 2 2 7" xfId="4816" xr:uid="{00000000-0005-0000-0000-0000F7120000}"/>
    <cellStyle name="Normal 8 2 3 2 2 7 2" xfId="14407" xr:uid="{F7D5D508-FCCB-49D3-A193-21770F91E97F}"/>
    <cellStyle name="Normal 8 2 3 2 2 8" xfId="9106" xr:uid="{00000000-0005-0000-0000-0000B9230000}"/>
    <cellStyle name="Normal 8 2 3 2 2 9" xfId="10052" xr:uid="{04182A66-049E-4080-AE6D-04ABB3B74803}"/>
    <cellStyle name="Normal 8 2 3 2 3" xfId="917" xr:uid="{00000000-0005-0000-0000-0000BC030000}"/>
    <cellStyle name="Normal 8 2 3 2 3 2" xfId="3151" xr:uid="{00000000-0005-0000-0000-0000760C0000}"/>
    <cellStyle name="Normal 8 2 3 2 3 2 2" xfId="7373" xr:uid="{00000000-0005-0000-0000-0000F41C0000}"/>
    <cellStyle name="Normal 8 2 3 2 3 2 2 2" xfId="16964" xr:uid="{4F391B6B-A5EC-4DA6-B9C8-5044ED97837B}"/>
    <cellStyle name="Normal 8 2 3 2 3 2 3" xfId="12743" xr:uid="{BF1E2DE7-D468-4409-B62A-DD2268C6F7AB}"/>
    <cellStyle name="Normal 8 2 3 2 3 3" xfId="5228" xr:uid="{00000000-0005-0000-0000-000093140000}"/>
    <cellStyle name="Normal 8 2 3 2 3 3 2" xfId="14819" xr:uid="{64D633A5-9EFE-4210-84B0-52C3371A75C2}"/>
    <cellStyle name="Normal 8 2 3 2 3 4" xfId="9324" xr:uid="{00000000-0005-0000-0000-000093240000}"/>
    <cellStyle name="Normal 8 2 3 2 3 5" xfId="10510" xr:uid="{30F3A6A1-B16E-419F-97D9-645ACFFDB20E}"/>
    <cellStyle name="Normal 8 2 3 2 4" xfId="1334" xr:uid="{00000000-0005-0000-0000-00005D050000}"/>
    <cellStyle name="Normal 8 2 3 2 4 2" xfId="3564" xr:uid="{00000000-0005-0000-0000-0000130E0000}"/>
    <cellStyle name="Normal 8 2 3 2 4 2 2" xfId="7786" xr:uid="{00000000-0005-0000-0000-0000911E0000}"/>
    <cellStyle name="Normal 8 2 3 2 4 2 2 2" xfId="17377" xr:uid="{447AC9FE-EAB3-4C1A-8F86-24BA19508219}"/>
    <cellStyle name="Normal 8 2 3 2 4 2 3" xfId="13156" xr:uid="{2F640E89-B10D-4DA1-B272-A95FF27BC341}"/>
    <cellStyle name="Normal 8 2 3 2 4 3" xfId="5641" xr:uid="{00000000-0005-0000-0000-000030160000}"/>
    <cellStyle name="Normal 8 2 3 2 4 3 2" xfId="15232" xr:uid="{879F8A02-9143-4691-833C-5319EC4B8A7B}"/>
    <cellStyle name="Normal 8 2 3 2 4 4" xfId="10927" xr:uid="{9762F012-157D-46A1-9792-36F4D3BE5C10}"/>
    <cellStyle name="Normal 8 2 3 2 5" xfId="1747" xr:uid="{00000000-0005-0000-0000-0000FA060000}"/>
    <cellStyle name="Normal 8 2 3 2 5 2" xfId="3977" xr:uid="{00000000-0005-0000-0000-0000B00F0000}"/>
    <cellStyle name="Normal 8 2 3 2 5 2 2" xfId="8199" xr:uid="{00000000-0005-0000-0000-00002E200000}"/>
    <cellStyle name="Normal 8 2 3 2 5 2 2 2" xfId="17790" xr:uid="{1FE34AAD-5403-4F00-BA0B-5F6AD86A2FFD}"/>
    <cellStyle name="Normal 8 2 3 2 5 2 3" xfId="13569" xr:uid="{83A761ED-22E6-4629-A81A-3202E7D98A3C}"/>
    <cellStyle name="Normal 8 2 3 2 5 3" xfId="6054" xr:uid="{00000000-0005-0000-0000-0000CD170000}"/>
    <cellStyle name="Normal 8 2 3 2 5 3 2" xfId="15645" xr:uid="{3BBA8533-9810-47AD-80D6-C19086849A7C}"/>
    <cellStyle name="Normal 8 2 3 2 5 4" xfId="11340" xr:uid="{256B725A-BE60-4D66-A076-E3885B3B3EF6}"/>
    <cellStyle name="Normal 8 2 3 2 6" xfId="2161" xr:uid="{00000000-0005-0000-0000-000098080000}"/>
    <cellStyle name="Normal 8 2 3 2 6 2" xfId="4390" xr:uid="{00000000-0005-0000-0000-00004D110000}"/>
    <cellStyle name="Normal 8 2 3 2 6 2 2" xfId="8612" xr:uid="{00000000-0005-0000-0000-0000CB210000}"/>
    <cellStyle name="Normal 8 2 3 2 6 2 2 2" xfId="18203" xr:uid="{A7FD10C5-4F3B-47F6-A867-0411C2D3FDD6}"/>
    <cellStyle name="Normal 8 2 3 2 6 2 3" xfId="13982" xr:uid="{F033902F-64EC-446A-A53A-4632B12464CC}"/>
    <cellStyle name="Normal 8 2 3 2 6 3" xfId="6467" xr:uid="{00000000-0005-0000-0000-00006A190000}"/>
    <cellStyle name="Normal 8 2 3 2 6 3 2" xfId="16058" xr:uid="{BB039A02-0C44-4754-9201-EE4B11E6B920}"/>
    <cellStyle name="Normal 8 2 3 2 6 4" xfId="11753" xr:uid="{FD44F5E1-C51F-4616-A5D7-8F4B9957CE1B}"/>
    <cellStyle name="Normal 8 2 3 2 7" xfId="2597" xr:uid="{00000000-0005-0000-0000-00004C0A0000}"/>
    <cellStyle name="Normal 8 2 3 2 7 2" xfId="6880" xr:uid="{00000000-0005-0000-0000-0000071B0000}"/>
    <cellStyle name="Normal 8 2 3 2 7 2 2" xfId="16471" xr:uid="{89AE46FD-A0A9-4B02-A6B5-A556412B5D7D}"/>
    <cellStyle name="Normal 8 2 3 2 7 3" xfId="12189" xr:uid="{79898B5A-452F-4BD3-99CD-8FB676954BC8}"/>
    <cellStyle name="Normal 8 2 3 2 8" xfId="4815" xr:uid="{00000000-0005-0000-0000-0000F6120000}"/>
    <cellStyle name="Normal 8 2 3 2 8 2" xfId="14406" xr:uid="{DE0BBDD7-ED08-4B0C-843C-46A2799D2323}"/>
    <cellStyle name="Normal 8 2 3 2 9" xfId="8899" xr:uid="{00000000-0005-0000-0000-0000EA220000}"/>
    <cellStyle name="Normal 8 2 3 3" xfId="455" xr:uid="{00000000-0005-0000-0000-0000EB010000}"/>
    <cellStyle name="Normal 8 2 3 3 2" xfId="919" xr:uid="{00000000-0005-0000-0000-0000BE030000}"/>
    <cellStyle name="Normal 8 2 3 3 2 2" xfId="3153" xr:uid="{00000000-0005-0000-0000-0000780C0000}"/>
    <cellStyle name="Normal 8 2 3 3 2 2 2" xfId="7375" xr:uid="{00000000-0005-0000-0000-0000F61C0000}"/>
    <cellStyle name="Normal 8 2 3 3 2 2 2 2" xfId="16966" xr:uid="{2EBCDDAB-7C8D-4AE5-AC4D-B739092AE76A}"/>
    <cellStyle name="Normal 8 2 3 3 2 2 3" xfId="12745" xr:uid="{557DE45D-E640-4842-BF9A-670753362B04}"/>
    <cellStyle name="Normal 8 2 3 3 2 3" xfId="5230" xr:uid="{00000000-0005-0000-0000-000095140000}"/>
    <cellStyle name="Normal 8 2 3 3 2 3 2" xfId="14821" xr:uid="{7A011A9B-DEE7-4ECA-8AA5-ABB1D2E19513}"/>
    <cellStyle name="Normal 8 2 3 3 2 4" xfId="9428" xr:uid="{00000000-0005-0000-0000-0000FB240000}"/>
    <cellStyle name="Normal 8 2 3 3 2 5" xfId="10512" xr:uid="{01315E39-62D9-4B3D-AFFE-2A55E8903CE5}"/>
    <cellStyle name="Normal 8 2 3 3 3" xfId="1336" xr:uid="{00000000-0005-0000-0000-00005F050000}"/>
    <cellStyle name="Normal 8 2 3 3 3 2" xfId="3566" xr:uid="{00000000-0005-0000-0000-0000150E0000}"/>
    <cellStyle name="Normal 8 2 3 3 3 2 2" xfId="7788" xr:uid="{00000000-0005-0000-0000-0000931E0000}"/>
    <cellStyle name="Normal 8 2 3 3 3 2 2 2" xfId="17379" xr:uid="{C03E3CD5-6EB5-4851-A9D3-8340E94ED88E}"/>
    <cellStyle name="Normal 8 2 3 3 3 2 3" xfId="13158" xr:uid="{A4D35D3C-66FE-4B78-8ED6-028BD500E8FA}"/>
    <cellStyle name="Normal 8 2 3 3 3 3" xfId="5643" xr:uid="{00000000-0005-0000-0000-000032160000}"/>
    <cellStyle name="Normal 8 2 3 3 3 3 2" xfId="15234" xr:uid="{D0B4C542-CA79-4A79-9321-E8AE43EDB520}"/>
    <cellStyle name="Normal 8 2 3 3 3 4" xfId="10929" xr:uid="{8E19CD3F-E8AA-47CD-8C7F-1F52316FA087}"/>
    <cellStyle name="Normal 8 2 3 3 4" xfId="1749" xr:uid="{00000000-0005-0000-0000-0000FC060000}"/>
    <cellStyle name="Normal 8 2 3 3 4 2" xfId="3979" xr:uid="{00000000-0005-0000-0000-0000B20F0000}"/>
    <cellStyle name="Normal 8 2 3 3 4 2 2" xfId="8201" xr:uid="{00000000-0005-0000-0000-000030200000}"/>
    <cellStyle name="Normal 8 2 3 3 4 2 2 2" xfId="17792" xr:uid="{CA004631-6EC7-403D-8F03-38A967B9DFDA}"/>
    <cellStyle name="Normal 8 2 3 3 4 2 3" xfId="13571" xr:uid="{8A47C401-F331-4BFF-94E7-4B6CBFAE065A}"/>
    <cellStyle name="Normal 8 2 3 3 4 3" xfId="6056" xr:uid="{00000000-0005-0000-0000-0000CF170000}"/>
    <cellStyle name="Normal 8 2 3 3 4 3 2" xfId="15647" xr:uid="{D8E69EB0-DE9B-468A-AD53-AD5AD51D0310}"/>
    <cellStyle name="Normal 8 2 3 3 4 4" xfId="11342" xr:uid="{E4189EB2-05F0-4239-B106-065A558F1DA1}"/>
    <cellStyle name="Normal 8 2 3 3 5" xfId="2163" xr:uid="{00000000-0005-0000-0000-00009A080000}"/>
    <cellStyle name="Normal 8 2 3 3 5 2" xfId="4392" xr:uid="{00000000-0005-0000-0000-00004F110000}"/>
    <cellStyle name="Normal 8 2 3 3 5 2 2" xfId="8614" xr:uid="{00000000-0005-0000-0000-0000CD210000}"/>
    <cellStyle name="Normal 8 2 3 3 5 2 2 2" xfId="18205" xr:uid="{0D8C4657-4F09-475A-A966-21CF58038AEC}"/>
    <cellStyle name="Normal 8 2 3 3 5 2 3" xfId="13984" xr:uid="{47CC539A-48A6-4A36-9565-AC71AB6C4F64}"/>
    <cellStyle name="Normal 8 2 3 3 5 3" xfId="6469" xr:uid="{00000000-0005-0000-0000-00006C190000}"/>
    <cellStyle name="Normal 8 2 3 3 5 3 2" xfId="16060" xr:uid="{2DEEB2D2-B6C6-4D6D-9DDD-98211D584ECE}"/>
    <cellStyle name="Normal 8 2 3 3 5 4" xfId="11755" xr:uid="{F06F6AC5-1E5A-49FF-A708-79DFE551288B}"/>
    <cellStyle name="Normal 8 2 3 3 6" xfId="2599" xr:uid="{00000000-0005-0000-0000-00004E0A0000}"/>
    <cellStyle name="Normal 8 2 3 3 6 2" xfId="6882" xr:uid="{00000000-0005-0000-0000-0000091B0000}"/>
    <cellStyle name="Normal 8 2 3 3 6 2 2" xfId="16473" xr:uid="{C0AD90A8-6BE4-438C-A1DB-BA86C2AC0642}"/>
    <cellStyle name="Normal 8 2 3 3 6 3" xfId="12191" xr:uid="{992B720F-810B-4430-841C-624401025AA2}"/>
    <cellStyle name="Normal 8 2 3 3 7" xfId="4817" xr:uid="{00000000-0005-0000-0000-0000F8120000}"/>
    <cellStyle name="Normal 8 2 3 3 7 2" xfId="14408" xr:uid="{3110761B-9770-4351-ACE5-DC266D3A5660}"/>
    <cellStyle name="Normal 8 2 3 3 8" xfId="9003" xr:uid="{00000000-0005-0000-0000-000052230000}"/>
    <cellStyle name="Normal 8 2 3 3 9" xfId="10053" xr:uid="{0C175A60-8AAB-4EDB-BA88-B2F5E33FF273}"/>
    <cellStyle name="Normal 8 2 3 4" xfId="916" xr:uid="{00000000-0005-0000-0000-0000BB030000}"/>
    <cellStyle name="Normal 8 2 3 4 2" xfId="3150" xr:uid="{00000000-0005-0000-0000-0000750C0000}"/>
    <cellStyle name="Normal 8 2 3 4 2 2" xfId="7372" xr:uid="{00000000-0005-0000-0000-0000F31C0000}"/>
    <cellStyle name="Normal 8 2 3 4 2 2 2" xfId="16963" xr:uid="{C17903F7-3015-41D6-83D9-96D960718707}"/>
    <cellStyle name="Normal 8 2 3 4 2 3" xfId="12742" xr:uid="{60AC6756-0269-4057-96FF-13A0370091D2}"/>
    <cellStyle name="Normal 8 2 3 4 3" xfId="5227" xr:uid="{00000000-0005-0000-0000-000092140000}"/>
    <cellStyle name="Normal 8 2 3 4 3 2" xfId="14818" xr:uid="{C3FA3233-5AD4-49D4-BD12-3AF22A5A6B79}"/>
    <cellStyle name="Normal 8 2 3 4 4" xfId="9221" xr:uid="{00000000-0005-0000-0000-00002C240000}"/>
    <cellStyle name="Normal 8 2 3 4 5" xfId="10509" xr:uid="{A3A19598-7796-42E6-9B7D-65341E1B07AB}"/>
    <cellStyle name="Normal 8 2 3 5" xfId="1333" xr:uid="{00000000-0005-0000-0000-00005C050000}"/>
    <cellStyle name="Normal 8 2 3 5 2" xfId="3563" xr:uid="{00000000-0005-0000-0000-0000120E0000}"/>
    <cellStyle name="Normal 8 2 3 5 2 2" xfId="7785" xr:uid="{00000000-0005-0000-0000-0000901E0000}"/>
    <cellStyle name="Normal 8 2 3 5 2 2 2" xfId="17376" xr:uid="{F4129485-AA71-418F-971B-690453BCCB12}"/>
    <cellStyle name="Normal 8 2 3 5 2 3" xfId="13155" xr:uid="{E446F4AB-D886-4C9E-BA66-DDF9030B3984}"/>
    <cellStyle name="Normal 8 2 3 5 3" xfId="5640" xr:uid="{00000000-0005-0000-0000-00002F160000}"/>
    <cellStyle name="Normal 8 2 3 5 3 2" xfId="15231" xr:uid="{7B91836B-9F59-40AE-8C56-E00ACA4B2BE2}"/>
    <cellStyle name="Normal 8 2 3 5 4" xfId="10926" xr:uid="{09DE8D1B-FE6F-44EE-9A14-3EDA1C052287}"/>
    <cellStyle name="Normal 8 2 3 6" xfId="1746" xr:uid="{00000000-0005-0000-0000-0000F9060000}"/>
    <cellStyle name="Normal 8 2 3 6 2" xfId="3976" xr:uid="{00000000-0005-0000-0000-0000AF0F0000}"/>
    <cellStyle name="Normal 8 2 3 6 2 2" xfId="8198" xr:uid="{00000000-0005-0000-0000-00002D200000}"/>
    <cellStyle name="Normal 8 2 3 6 2 2 2" xfId="17789" xr:uid="{8E1A4995-DC90-4D99-99B2-EA3EC5A78E78}"/>
    <cellStyle name="Normal 8 2 3 6 2 3" xfId="13568" xr:uid="{1AD7BCEE-EDAF-4D72-9B08-E19B823F9CA3}"/>
    <cellStyle name="Normal 8 2 3 6 3" xfId="6053" xr:uid="{00000000-0005-0000-0000-0000CC170000}"/>
    <cellStyle name="Normal 8 2 3 6 3 2" xfId="15644" xr:uid="{5B67314E-6EB0-4C59-B0A4-DB6D14DF21D1}"/>
    <cellStyle name="Normal 8 2 3 6 4" xfId="11339" xr:uid="{77FC3B0E-C295-4069-BAF6-1D533159FDC5}"/>
    <cellStyle name="Normal 8 2 3 7" xfId="2160" xr:uid="{00000000-0005-0000-0000-000097080000}"/>
    <cellStyle name="Normal 8 2 3 7 2" xfId="4389" xr:uid="{00000000-0005-0000-0000-00004C110000}"/>
    <cellStyle name="Normal 8 2 3 7 2 2" xfId="8611" xr:uid="{00000000-0005-0000-0000-0000CA210000}"/>
    <cellStyle name="Normal 8 2 3 7 2 2 2" xfId="18202" xr:uid="{814E8CB8-FED3-4A91-BC9A-14B390DD450B}"/>
    <cellStyle name="Normal 8 2 3 7 2 3" xfId="13981" xr:uid="{63DF32F4-CDE4-44CB-A9F1-5AA9FF98165C}"/>
    <cellStyle name="Normal 8 2 3 7 3" xfId="6466" xr:uid="{00000000-0005-0000-0000-000069190000}"/>
    <cellStyle name="Normal 8 2 3 7 3 2" xfId="16057" xr:uid="{11EE3B2E-F012-45DB-AF3E-44FD8123044B}"/>
    <cellStyle name="Normal 8 2 3 7 4" xfId="11752" xr:uid="{57487A05-74D4-4CE8-A667-7ED2E4CADFDD}"/>
    <cellStyle name="Normal 8 2 3 8" xfId="2596" xr:uid="{00000000-0005-0000-0000-00004B0A0000}"/>
    <cellStyle name="Normal 8 2 3 8 2" xfId="6879" xr:uid="{00000000-0005-0000-0000-0000061B0000}"/>
    <cellStyle name="Normal 8 2 3 8 2 2" xfId="16470" xr:uid="{5D7014C0-04D4-459E-8BE9-774E12326E9B}"/>
    <cellStyle name="Normal 8 2 3 8 3" xfId="12188" xr:uid="{64489F8C-0F5A-4D6D-8E0B-C5EBD0E56EE0}"/>
    <cellStyle name="Normal 8 2 3 9" xfId="4814" xr:uid="{00000000-0005-0000-0000-0000F5120000}"/>
    <cellStyle name="Normal 8 2 3 9 2" xfId="14405" xr:uid="{BFA0592F-BA3D-4B99-9535-D1272B9D0BC5}"/>
    <cellStyle name="Normal 8 2 4" xfId="456" xr:uid="{00000000-0005-0000-0000-0000EC010000}"/>
    <cellStyle name="Normal 8 2 4 10" xfId="10054" xr:uid="{1040662C-C138-4DE9-BBBD-DD2C65E211FE}"/>
    <cellStyle name="Normal 8 2 4 2" xfId="457" xr:uid="{00000000-0005-0000-0000-0000ED010000}"/>
    <cellStyle name="Normal 8 2 4 2 2" xfId="921" xr:uid="{00000000-0005-0000-0000-0000C0030000}"/>
    <cellStyle name="Normal 8 2 4 2 2 2" xfId="3155" xr:uid="{00000000-0005-0000-0000-00007A0C0000}"/>
    <cellStyle name="Normal 8 2 4 2 2 2 2" xfId="7377" xr:uid="{00000000-0005-0000-0000-0000F81C0000}"/>
    <cellStyle name="Normal 8 2 4 2 2 2 2 2" xfId="16968" xr:uid="{49CE10AD-F1E7-414C-A9A7-DBE76DF96660}"/>
    <cellStyle name="Normal 8 2 4 2 2 2 3" xfId="12747" xr:uid="{95FE4C20-B93F-47D0-A971-0D9526BDDD9D}"/>
    <cellStyle name="Normal 8 2 4 2 2 3" xfId="5232" xr:uid="{00000000-0005-0000-0000-000097140000}"/>
    <cellStyle name="Normal 8 2 4 2 2 3 2" xfId="14823" xr:uid="{0F2C0BC3-D1E6-4B54-8CC1-B29B1D155AE1}"/>
    <cellStyle name="Normal 8 2 4 2 2 4" xfId="9447" xr:uid="{00000000-0005-0000-0000-00000E250000}"/>
    <cellStyle name="Normal 8 2 4 2 2 5" xfId="10514" xr:uid="{16DE5943-193F-483C-80F0-ECB9B88C8B1E}"/>
    <cellStyle name="Normal 8 2 4 2 3" xfId="1338" xr:uid="{00000000-0005-0000-0000-000061050000}"/>
    <cellStyle name="Normal 8 2 4 2 3 2" xfId="3568" xr:uid="{00000000-0005-0000-0000-0000170E0000}"/>
    <cellStyle name="Normal 8 2 4 2 3 2 2" xfId="7790" xr:uid="{00000000-0005-0000-0000-0000951E0000}"/>
    <cellStyle name="Normal 8 2 4 2 3 2 2 2" xfId="17381" xr:uid="{FE1915F9-ECBA-4990-91A3-C412A8C0AD98}"/>
    <cellStyle name="Normal 8 2 4 2 3 2 3" xfId="13160" xr:uid="{4FFC81D0-3F17-405C-9D36-A5AC57B2D347}"/>
    <cellStyle name="Normal 8 2 4 2 3 3" xfId="5645" xr:uid="{00000000-0005-0000-0000-000034160000}"/>
    <cellStyle name="Normal 8 2 4 2 3 3 2" xfId="15236" xr:uid="{97FECBFF-2C70-4D7B-86E2-500E78D998A4}"/>
    <cellStyle name="Normal 8 2 4 2 3 4" xfId="10931" xr:uid="{468F5B79-6EB1-44CA-B3EF-262A8FA194C9}"/>
    <cellStyle name="Normal 8 2 4 2 4" xfId="1751" xr:uid="{00000000-0005-0000-0000-0000FE060000}"/>
    <cellStyle name="Normal 8 2 4 2 4 2" xfId="3981" xr:uid="{00000000-0005-0000-0000-0000B40F0000}"/>
    <cellStyle name="Normal 8 2 4 2 4 2 2" xfId="8203" xr:uid="{00000000-0005-0000-0000-000032200000}"/>
    <cellStyle name="Normal 8 2 4 2 4 2 2 2" xfId="17794" xr:uid="{6061897B-AF1B-4974-AA60-10BC1045837A}"/>
    <cellStyle name="Normal 8 2 4 2 4 2 3" xfId="13573" xr:uid="{EB0D84B6-BE5C-4B79-A924-98FD6787E375}"/>
    <cellStyle name="Normal 8 2 4 2 4 3" xfId="6058" xr:uid="{00000000-0005-0000-0000-0000D1170000}"/>
    <cellStyle name="Normal 8 2 4 2 4 3 2" xfId="15649" xr:uid="{C8A64759-5971-43CD-9DA0-71158E73FD26}"/>
    <cellStyle name="Normal 8 2 4 2 4 4" xfId="11344" xr:uid="{CB604932-9562-44AB-9466-F89B2DD7C5D2}"/>
    <cellStyle name="Normal 8 2 4 2 5" xfId="2165" xr:uid="{00000000-0005-0000-0000-00009C080000}"/>
    <cellStyle name="Normal 8 2 4 2 5 2" xfId="4394" xr:uid="{00000000-0005-0000-0000-000051110000}"/>
    <cellStyle name="Normal 8 2 4 2 5 2 2" xfId="8616" xr:uid="{00000000-0005-0000-0000-0000CF210000}"/>
    <cellStyle name="Normal 8 2 4 2 5 2 2 2" xfId="18207" xr:uid="{1D2AB4A7-13C6-4A58-A411-5F2C995C6CED}"/>
    <cellStyle name="Normal 8 2 4 2 5 2 3" xfId="13986" xr:uid="{C90BAC9C-66EB-4256-A538-4892F68AD520}"/>
    <cellStyle name="Normal 8 2 4 2 5 3" xfId="6471" xr:uid="{00000000-0005-0000-0000-00006E190000}"/>
    <cellStyle name="Normal 8 2 4 2 5 3 2" xfId="16062" xr:uid="{8D86D16F-C62F-4835-BBFD-40ED8472A441}"/>
    <cellStyle name="Normal 8 2 4 2 5 4" xfId="11757" xr:uid="{60B80E26-629A-40C2-B9B4-1E2E959733A4}"/>
    <cellStyle name="Normal 8 2 4 2 6" xfId="2601" xr:uid="{00000000-0005-0000-0000-0000500A0000}"/>
    <cellStyle name="Normal 8 2 4 2 6 2" xfId="6884" xr:uid="{00000000-0005-0000-0000-00000B1B0000}"/>
    <cellStyle name="Normal 8 2 4 2 6 2 2" xfId="16475" xr:uid="{B8AB7FBE-6C2C-4F4A-8A44-A93FFD391CAF}"/>
    <cellStyle name="Normal 8 2 4 2 6 3" xfId="12193" xr:uid="{83895BA7-7B4A-4766-B74F-1C23574502BC}"/>
    <cellStyle name="Normal 8 2 4 2 7" xfId="4819" xr:uid="{00000000-0005-0000-0000-0000FA120000}"/>
    <cellStyle name="Normal 8 2 4 2 7 2" xfId="14410" xr:uid="{6C264E80-02FC-480A-AA7B-D7F198DE4925}"/>
    <cellStyle name="Normal 8 2 4 2 8" xfId="9022" xr:uid="{00000000-0005-0000-0000-000065230000}"/>
    <cellStyle name="Normal 8 2 4 2 9" xfId="10055" xr:uid="{A1A89B89-DF71-465E-90B1-00EE38628FE2}"/>
    <cellStyle name="Normal 8 2 4 3" xfId="920" xr:uid="{00000000-0005-0000-0000-0000BF030000}"/>
    <cellStyle name="Normal 8 2 4 3 2" xfId="3154" xr:uid="{00000000-0005-0000-0000-0000790C0000}"/>
    <cellStyle name="Normal 8 2 4 3 2 2" xfId="7376" xr:uid="{00000000-0005-0000-0000-0000F71C0000}"/>
    <cellStyle name="Normal 8 2 4 3 2 2 2" xfId="16967" xr:uid="{3CFA5B46-A191-41D1-B630-C68CA4C94797}"/>
    <cellStyle name="Normal 8 2 4 3 2 3" xfId="12746" xr:uid="{D227D7CD-8D15-4E62-83AC-525354D8B5CB}"/>
    <cellStyle name="Normal 8 2 4 3 3" xfId="5231" xr:uid="{00000000-0005-0000-0000-000096140000}"/>
    <cellStyle name="Normal 8 2 4 3 3 2" xfId="14822" xr:uid="{C373517F-22D4-4913-8AE2-87A25F2B1DD8}"/>
    <cellStyle name="Normal 8 2 4 3 4" xfId="9240" xr:uid="{00000000-0005-0000-0000-00003F240000}"/>
    <cellStyle name="Normal 8 2 4 3 5" xfId="10513" xr:uid="{5F2E590E-31AB-4A8E-A8F9-CA707A57FDBC}"/>
    <cellStyle name="Normal 8 2 4 4" xfId="1337" xr:uid="{00000000-0005-0000-0000-000060050000}"/>
    <cellStyle name="Normal 8 2 4 4 2" xfId="3567" xr:uid="{00000000-0005-0000-0000-0000160E0000}"/>
    <cellStyle name="Normal 8 2 4 4 2 2" xfId="7789" xr:uid="{00000000-0005-0000-0000-0000941E0000}"/>
    <cellStyle name="Normal 8 2 4 4 2 2 2" xfId="17380" xr:uid="{CB77166E-0158-4D1C-94EB-6CB3641BFBC1}"/>
    <cellStyle name="Normal 8 2 4 4 2 3" xfId="13159" xr:uid="{15CFC013-F2DE-4A27-BBCC-ED4C7F5D41A3}"/>
    <cellStyle name="Normal 8 2 4 4 3" xfId="5644" xr:uid="{00000000-0005-0000-0000-000033160000}"/>
    <cellStyle name="Normal 8 2 4 4 3 2" xfId="15235" xr:uid="{F111C213-3E9D-4936-8049-4745780E4D8C}"/>
    <cellStyle name="Normal 8 2 4 4 4" xfId="10930" xr:uid="{428B9F94-05BB-4F57-AC53-6910532EA56D}"/>
    <cellStyle name="Normal 8 2 4 5" xfId="1750" xr:uid="{00000000-0005-0000-0000-0000FD060000}"/>
    <cellStyle name="Normal 8 2 4 5 2" xfId="3980" xr:uid="{00000000-0005-0000-0000-0000B30F0000}"/>
    <cellStyle name="Normal 8 2 4 5 2 2" xfId="8202" xr:uid="{00000000-0005-0000-0000-000031200000}"/>
    <cellStyle name="Normal 8 2 4 5 2 2 2" xfId="17793" xr:uid="{DFB916C3-EAA6-416E-A837-9E2C9514F791}"/>
    <cellStyle name="Normal 8 2 4 5 2 3" xfId="13572" xr:uid="{795A8654-62CA-4C1F-9B05-C6D645320E37}"/>
    <cellStyle name="Normal 8 2 4 5 3" xfId="6057" xr:uid="{00000000-0005-0000-0000-0000D0170000}"/>
    <cellStyle name="Normal 8 2 4 5 3 2" xfId="15648" xr:uid="{5DF77C39-1F7E-4AC8-A9CF-163115FBD139}"/>
    <cellStyle name="Normal 8 2 4 5 4" xfId="11343" xr:uid="{F7ACBBFE-A122-411A-BBC9-0973D2C602DF}"/>
    <cellStyle name="Normal 8 2 4 6" xfId="2164" xr:uid="{00000000-0005-0000-0000-00009B080000}"/>
    <cellStyle name="Normal 8 2 4 6 2" xfId="4393" xr:uid="{00000000-0005-0000-0000-000050110000}"/>
    <cellStyle name="Normal 8 2 4 6 2 2" xfId="8615" xr:uid="{00000000-0005-0000-0000-0000CE210000}"/>
    <cellStyle name="Normal 8 2 4 6 2 2 2" xfId="18206" xr:uid="{12C79BE1-8E91-4996-8858-A5B0DB767EC8}"/>
    <cellStyle name="Normal 8 2 4 6 2 3" xfId="13985" xr:uid="{0B9F8934-5E2A-461A-95C2-24576C59AF2F}"/>
    <cellStyle name="Normal 8 2 4 6 3" xfId="6470" xr:uid="{00000000-0005-0000-0000-00006D190000}"/>
    <cellStyle name="Normal 8 2 4 6 3 2" xfId="16061" xr:uid="{03C9E7AD-71D9-408E-A411-1B0A4EA2121A}"/>
    <cellStyle name="Normal 8 2 4 6 4" xfId="11756" xr:uid="{A125FA9C-6C51-492E-9433-E5A1A14F0D73}"/>
    <cellStyle name="Normal 8 2 4 7" xfId="2600" xr:uid="{00000000-0005-0000-0000-00004F0A0000}"/>
    <cellStyle name="Normal 8 2 4 7 2" xfId="6883" xr:uid="{00000000-0005-0000-0000-00000A1B0000}"/>
    <cellStyle name="Normal 8 2 4 7 2 2" xfId="16474" xr:uid="{644F9293-59CD-457A-B5BC-885BF1316FA8}"/>
    <cellStyle name="Normal 8 2 4 7 3" xfId="12192" xr:uid="{7AF7C2DF-13BD-49A4-A6A4-4C3B3DFAF2FB}"/>
    <cellStyle name="Normal 8 2 4 8" xfId="4818" xr:uid="{00000000-0005-0000-0000-0000F9120000}"/>
    <cellStyle name="Normal 8 2 4 8 2" xfId="14409" xr:uid="{21CCE6AF-A101-480D-8431-1A4829964644}"/>
    <cellStyle name="Normal 8 2 4 9" xfId="8815" xr:uid="{00000000-0005-0000-0000-000096220000}"/>
    <cellStyle name="Normal 8 2 5" xfId="458" xr:uid="{00000000-0005-0000-0000-0000EE010000}"/>
    <cellStyle name="Normal 8 2 5 2" xfId="922" xr:uid="{00000000-0005-0000-0000-0000C1030000}"/>
    <cellStyle name="Normal 8 2 5 2 2" xfId="3156" xr:uid="{00000000-0005-0000-0000-00007B0C0000}"/>
    <cellStyle name="Normal 8 2 5 2 2 2" xfId="7378" xr:uid="{00000000-0005-0000-0000-0000F91C0000}"/>
    <cellStyle name="Normal 8 2 5 2 2 2 2" xfId="16969" xr:uid="{D5B5E785-F614-4266-A6D8-AFD035E219A1}"/>
    <cellStyle name="Normal 8 2 5 2 2 3" xfId="12748" xr:uid="{7CB70996-24B0-4AA1-AAC2-AD6D05BB2EF1}"/>
    <cellStyle name="Normal 8 2 5 2 3" xfId="5233" xr:uid="{00000000-0005-0000-0000-000098140000}"/>
    <cellStyle name="Normal 8 2 5 2 3 2" xfId="14824" xr:uid="{4FD41C52-43B7-43E9-8EA8-D1AFF141085B}"/>
    <cellStyle name="Normal 8 2 5 2 4" xfId="9356" xr:uid="{00000000-0005-0000-0000-0000B3240000}"/>
    <cellStyle name="Normal 8 2 5 2 5" xfId="10515" xr:uid="{0731CE3D-E7C5-4F07-921A-030DDC1D94C5}"/>
    <cellStyle name="Normal 8 2 5 3" xfId="1339" xr:uid="{00000000-0005-0000-0000-000062050000}"/>
    <cellStyle name="Normal 8 2 5 3 2" xfId="3569" xr:uid="{00000000-0005-0000-0000-0000180E0000}"/>
    <cellStyle name="Normal 8 2 5 3 2 2" xfId="7791" xr:uid="{00000000-0005-0000-0000-0000961E0000}"/>
    <cellStyle name="Normal 8 2 5 3 2 2 2" xfId="17382" xr:uid="{AA8387F4-91F8-496A-81B4-DA16EB8F38F3}"/>
    <cellStyle name="Normal 8 2 5 3 2 3" xfId="13161" xr:uid="{23431F84-CD1F-4A73-98A2-72605DA19D1A}"/>
    <cellStyle name="Normal 8 2 5 3 3" xfId="5646" xr:uid="{00000000-0005-0000-0000-000035160000}"/>
    <cellStyle name="Normal 8 2 5 3 3 2" xfId="15237" xr:uid="{8CA13304-7FA4-4DA1-9884-F465EEF12A91}"/>
    <cellStyle name="Normal 8 2 5 3 4" xfId="10932" xr:uid="{611BBFAE-2876-4F98-A39E-7A9DF01859EE}"/>
    <cellStyle name="Normal 8 2 5 4" xfId="1752" xr:uid="{00000000-0005-0000-0000-0000FF060000}"/>
    <cellStyle name="Normal 8 2 5 4 2" xfId="3982" xr:uid="{00000000-0005-0000-0000-0000B50F0000}"/>
    <cellStyle name="Normal 8 2 5 4 2 2" xfId="8204" xr:uid="{00000000-0005-0000-0000-000033200000}"/>
    <cellStyle name="Normal 8 2 5 4 2 2 2" xfId="17795" xr:uid="{9A66C16B-6652-45F6-A467-4EDFD2C97ABD}"/>
    <cellStyle name="Normal 8 2 5 4 2 3" xfId="13574" xr:uid="{486110D8-9A37-4304-82BD-BE24559291D7}"/>
    <cellStyle name="Normal 8 2 5 4 3" xfId="6059" xr:uid="{00000000-0005-0000-0000-0000D2170000}"/>
    <cellStyle name="Normal 8 2 5 4 3 2" xfId="15650" xr:uid="{D1F1F690-ED92-4131-AF01-67B287B3CD63}"/>
    <cellStyle name="Normal 8 2 5 4 4" xfId="11345" xr:uid="{F47A8D1E-9975-4FD1-A0DC-87CD7635C7CF}"/>
    <cellStyle name="Normal 8 2 5 5" xfId="2166" xr:uid="{00000000-0005-0000-0000-00009D080000}"/>
    <cellStyle name="Normal 8 2 5 5 2" xfId="4395" xr:uid="{00000000-0005-0000-0000-000052110000}"/>
    <cellStyle name="Normal 8 2 5 5 2 2" xfId="8617" xr:uid="{00000000-0005-0000-0000-0000D0210000}"/>
    <cellStyle name="Normal 8 2 5 5 2 2 2" xfId="18208" xr:uid="{2A3D2985-6377-4BB7-991F-4050D60FA364}"/>
    <cellStyle name="Normal 8 2 5 5 2 3" xfId="13987" xr:uid="{14175921-39C6-4354-822C-8FAE9AFE2F8D}"/>
    <cellStyle name="Normal 8 2 5 5 3" xfId="6472" xr:uid="{00000000-0005-0000-0000-00006F190000}"/>
    <cellStyle name="Normal 8 2 5 5 3 2" xfId="16063" xr:uid="{4844995F-D117-4523-AEA9-60975B3C2619}"/>
    <cellStyle name="Normal 8 2 5 5 4" xfId="11758" xr:uid="{DD528FD5-9FCD-467D-B0D5-7F2C1E8DEDB2}"/>
    <cellStyle name="Normal 8 2 5 6" xfId="2602" xr:uid="{00000000-0005-0000-0000-0000510A0000}"/>
    <cellStyle name="Normal 8 2 5 6 2" xfId="6885" xr:uid="{00000000-0005-0000-0000-00000C1B0000}"/>
    <cellStyle name="Normal 8 2 5 6 2 2" xfId="16476" xr:uid="{221A3D35-E616-4C3B-89E1-6B630336AA91}"/>
    <cellStyle name="Normal 8 2 5 6 3" xfId="12194" xr:uid="{21E1708C-2A42-4C10-ABA6-B3A281A368C1}"/>
    <cellStyle name="Normal 8 2 5 7" xfId="4820" xr:uid="{00000000-0005-0000-0000-0000FB120000}"/>
    <cellStyle name="Normal 8 2 5 7 2" xfId="14411" xr:uid="{7B4E7B1D-8C03-4B82-8CEB-978C47EBFB12}"/>
    <cellStyle name="Normal 8 2 5 8" xfId="8931" xr:uid="{00000000-0005-0000-0000-00000A230000}"/>
    <cellStyle name="Normal 8 2 5 9" xfId="10056" xr:uid="{8F125216-780F-4F50-A79B-38D317A4B945}"/>
    <cellStyle name="Normal 8 2 6" xfId="907" xr:uid="{00000000-0005-0000-0000-0000B2030000}"/>
    <cellStyle name="Normal 8 2 6 2" xfId="3141" xr:uid="{00000000-0005-0000-0000-00006C0C0000}"/>
    <cellStyle name="Normal 8 2 6 2 2" xfId="7363" xr:uid="{00000000-0005-0000-0000-0000EA1C0000}"/>
    <cellStyle name="Normal 8 2 6 2 2 2" xfId="16954" xr:uid="{19EDCCE5-C2CE-4FC0-8964-1A6DF8B05D52}"/>
    <cellStyle name="Normal 8 2 6 2 3" xfId="12733" xr:uid="{DBD9937F-33C2-4BF1-88D8-DB9FE63B460F}"/>
    <cellStyle name="Normal 8 2 6 3" xfId="5218" xr:uid="{00000000-0005-0000-0000-000089140000}"/>
    <cellStyle name="Normal 8 2 6 3 2" xfId="14809" xr:uid="{428BE4AC-AA5A-4142-B30B-999DFA7FE090}"/>
    <cellStyle name="Normal 8 2 6 4" xfId="9134" xr:uid="{00000000-0005-0000-0000-0000D5230000}"/>
    <cellStyle name="Normal 8 2 6 5" xfId="10500" xr:uid="{78ADF68B-4C79-4350-A64F-2532EEF560D3}"/>
    <cellStyle name="Normal 8 2 7" xfId="1324" xr:uid="{00000000-0005-0000-0000-000053050000}"/>
    <cellStyle name="Normal 8 2 7 2" xfId="3554" xr:uid="{00000000-0005-0000-0000-0000090E0000}"/>
    <cellStyle name="Normal 8 2 7 2 2" xfId="7776" xr:uid="{00000000-0005-0000-0000-0000871E0000}"/>
    <cellStyle name="Normal 8 2 7 2 2 2" xfId="17367" xr:uid="{531A61D4-7DAC-491D-A31A-F44E525FA55B}"/>
    <cellStyle name="Normal 8 2 7 2 3" xfId="13146" xr:uid="{EBC7AF8B-2A97-463E-B3FB-CBF37B598C64}"/>
    <cellStyle name="Normal 8 2 7 3" xfId="5631" xr:uid="{00000000-0005-0000-0000-000026160000}"/>
    <cellStyle name="Normal 8 2 7 3 2" xfId="15222" xr:uid="{9E2CC7B6-38E2-4D9A-A1D3-286D46787092}"/>
    <cellStyle name="Normal 8 2 7 4" xfId="10917" xr:uid="{54EAE5B4-8E23-4B46-A134-F88736B9725F}"/>
    <cellStyle name="Normal 8 2 8" xfId="1737" xr:uid="{00000000-0005-0000-0000-0000F0060000}"/>
    <cellStyle name="Normal 8 2 8 2" xfId="3967" xr:uid="{00000000-0005-0000-0000-0000A60F0000}"/>
    <cellStyle name="Normal 8 2 8 2 2" xfId="8189" xr:uid="{00000000-0005-0000-0000-000024200000}"/>
    <cellStyle name="Normal 8 2 8 2 2 2" xfId="17780" xr:uid="{6EA82558-0A58-498B-B47C-FA047AA156FC}"/>
    <cellStyle name="Normal 8 2 8 2 3" xfId="13559" xr:uid="{01E4F601-20BC-480D-B22C-39370A6101D4}"/>
    <cellStyle name="Normal 8 2 8 3" xfId="6044" xr:uid="{00000000-0005-0000-0000-0000C3170000}"/>
    <cellStyle name="Normal 8 2 8 3 2" xfId="15635" xr:uid="{677BAEAF-16DB-436E-9797-0EF68841692D}"/>
    <cellStyle name="Normal 8 2 8 4" xfId="11330" xr:uid="{E3EAC854-7FC7-4186-83A1-5C080A2F670D}"/>
    <cellStyle name="Normal 8 2 9" xfId="2151" xr:uid="{00000000-0005-0000-0000-00008E080000}"/>
    <cellStyle name="Normal 8 2 9 2" xfId="4380" xr:uid="{00000000-0005-0000-0000-000043110000}"/>
    <cellStyle name="Normal 8 2 9 2 2" xfId="8602" xr:uid="{00000000-0005-0000-0000-0000C1210000}"/>
    <cellStyle name="Normal 8 2 9 2 2 2" xfId="18193" xr:uid="{0902D2EF-332E-4A3B-AE05-A7CA1A996A99}"/>
    <cellStyle name="Normal 8 2 9 2 3" xfId="13972" xr:uid="{472045A4-A76B-4570-8189-879C9D8152C6}"/>
    <cellStyle name="Normal 8 2 9 3" xfId="6457" xr:uid="{00000000-0005-0000-0000-000060190000}"/>
    <cellStyle name="Normal 8 2 9 3 2" xfId="16048" xr:uid="{24861ADC-228F-47C0-94B2-9DF0452EA0F0}"/>
    <cellStyle name="Normal 8 2 9 4" xfId="11743" xr:uid="{F6B1BD0B-5336-4362-A343-FB8FDDD05E3E}"/>
    <cellStyle name="Normal 8 3" xfId="459" xr:uid="{00000000-0005-0000-0000-0000EF010000}"/>
    <cellStyle name="Normal 8 3 10" xfId="4821" xr:uid="{00000000-0005-0000-0000-0000FC120000}"/>
    <cellStyle name="Normal 8 3 10 2" xfId="14412" xr:uid="{677C20A8-AFFE-4932-8980-A7FC177A3D25}"/>
    <cellStyle name="Normal 8 3 11" xfId="8735" xr:uid="{00000000-0005-0000-0000-000046220000}"/>
    <cellStyle name="Normal 8 3 12" xfId="10057" xr:uid="{41511B0F-27E6-4EF0-9435-C32538188AC7}"/>
    <cellStyle name="Normal 8 3 2" xfId="460" xr:uid="{00000000-0005-0000-0000-0000F0010000}"/>
    <cellStyle name="Normal 8 3 2 10" xfId="8798" xr:uid="{00000000-0005-0000-0000-000085220000}"/>
    <cellStyle name="Normal 8 3 2 11" xfId="10058" xr:uid="{97BB523C-DB19-4BD0-94CF-71F7BC7738E8}"/>
    <cellStyle name="Normal 8 3 2 2" xfId="461" xr:uid="{00000000-0005-0000-0000-0000F1010000}"/>
    <cellStyle name="Normal 8 3 2 2 10" xfId="10059" xr:uid="{19D99906-A79D-4F92-9D61-D498D0B300D2}"/>
    <cellStyle name="Normal 8 3 2 2 2" xfId="462" xr:uid="{00000000-0005-0000-0000-0000F2010000}"/>
    <cellStyle name="Normal 8 3 2 2 2 2" xfId="926" xr:uid="{00000000-0005-0000-0000-0000C5030000}"/>
    <cellStyle name="Normal 8 3 2 2 2 2 2" xfId="3160" xr:uid="{00000000-0005-0000-0000-00007F0C0000}"/>
    <cellStyle name="Normal 8 3 2 2 2 2 2 2" xfId="7382" xr:uid="{00000000-0005-0000-0000-0000FD1C0000}"/>
    <cellStyle name="Normal 8 3 2 2 2 2 2 2 2" xfId="16973" xr:uid="{0F16358C-E173-4B65-940E-511E607C70FA}"/>
    <cellStyle name="Normal 8 3 2 2 2 2 2 3" xfId="12752" xr:uid="{ED6AC40B-ADEC-4C0D-BD8E-26A31343394E}"/>
    <cellStyle name="Normal 8 3 2 2 2 2 3" xfId="5237" xr:uid="{00000000-0005-0000-0000-00009C140000}"/>
    <cellStyle name="Normal 8 3 2 2 2 2 3 2" xfId="14828" xr:uid="{94BD1BC5-3C4A-4501-9FB8-E07E6981A699}"/>
    <cellStyle name="Normal 8 3 2 2 2 2 4" xfId="9533" xr:uid="{00000000-0005-0000-0000-000064250000}"/>
    <cellStyle name="Normal 8 3 2 2 2 2 5" xfId="10519" xr:uid="{699B52FE-0C95-44E0-958D-DC3C3E9D2FB6}"/>
    <cellStyle name="Normal 8 3 2 2 2 3" xfId="1343" xr:uid="{00000000-0005-0000-0000-000066050000}"/>
    <cellStyle name="Normal 8 3 2 2 2 3 2" xfId="3573" xr:uid="{00000000-0005-0000-0000-00001C0E0000}"/>
    <cellStyle name="Normal 8 3 2 2 2 3 2 2" xfId="7795" xr:uid="{00000000-0005-0000-0000-00009A1E0000}"/>
    <cellStyle name="Normal 8 3 2 2 2 3 2 2 2" xfId="17386" xr:uid="{BF68765C-DD78-464E-9E49-D38BEE0AEF2D}"/>
    <cellStyle name="Normal 8 3 2 2 2 3 2 3" xfId="13165" xr:uid="{35CB495B-C48F-4F25-A83F-44F333C91554}"/>
    <cellStyle name="Normal 8 3 2 2 2 3 3" xfId="5650" xr:uid="{00000000-0005-0000-0000-000039160000}"/>
    <cellStyle name="Normal 8 3 2 2 2 3 3 2" xfId="15241" xr:uid="{5169CE26-D5B1-4AE1-861F-AF10AE06E986}"/>
    <cellStyle name="Normal 8 3 2 2 2 3 4" xfId="10936" xr:uid="{7A82E09B-779E-48B0-9548-3C28EF5B5212}"/>
    <cellStyle name="Normal 8 3 2 2 2 4" xfId="1756" xr:uid="{00000000-0005-0000-0000-000003070000}"/>
    <cellStyle name="Normal 8 3 2 2 2 4 2" xfId="3986" xr:uid="{00000000-0005-0000-0000-0000B90F0000}"/>
    <cellStyle name="Normal 8 3 2 2 2 4 2 2" xfId="8208" xr:uid="{00000000-0005-0000-0000-000037200000}"/>
    <cellStyle name="Normal 8 3 2 2 2 4 2 2 2" xfId="17799" xr:uid="{A600E5FD-24F2-4950-A430-C22A4388DB47}"/>
    <cellStyle name="Normal 8 3 2 2 2 4 2 3" xfId="13578" xr:uid="{087257BD-7114-4D81-95C7-41D6367EFFDB}"/>
    <cellStyle name="Normal 8 3 2 2 2 4 3" xfId="6063" xr:uid="{00000000-0005-0000-0000-0000D6170000}"/>
    <cellStyle name="Normal 8 3 2 2 2 4 3 2" xfId="15654" xr:uid="{362C5770-E751-43CE-B197-A5C33C5ECA74}"/>
    <cellStyle name="Normal 8 3 2 2 2 4 4" xfId="11349" xr:uid="{830A43A2-7DA5-434F-A916-8C46F4443CB4}"/>
    <cellStyle name="Normal 8 3 2 2 2 5" xfId="2170" xr:uid="{00000000-0005-0000-0000-0000A1080000}"/>
    <cellStyle name="Normal 8 3 2 2 2 5 2" xfId="4399" xr:uid="{00000000-0005-0000-0000-000056110000}"/>
    <cellStyle name="Normal 8 3 2 2 2 5 2 2" xfId="8621" xr:uid="{00000000-0005-0000-0000-0000D4210000}"/>
    <cellStyle name="Normal 8 3 2 2 2 5 2 2 2" xfId="18212" xr:uid="{3CEE469B-1130-424C-9017-56D8E36E3B34}"/>
    <cellStyle name="Normal 8 3 2 2 2 5 2 3" xfId="13991" xr:uid="{D718B7E5-021C-4851-A218-F47A94EF2EA9}"/>
    <cellStyle name="Normal 8 3 2 2 2 5 3" xfId="6476" xr:uid="{00000000-0005-0000-0000-000073190000}"/>
    <cellStyle name="Normal 8 3 2 2 2 5 3 2" xfId="16067" xr:uid="{F270A534-D390-4853-B3FA-4D7BFE550CDF}"/>
    <cellStyle name="Normal 8 3 2 2 2 5 4" xfId="11762" xr:uid="{210D8564-A63B-48D0-9A92-F49DF8C7FD14}"/>
    <cellStyle name="Normal 8 3 2 2 2 6" xfId="2606" xr:uid="{00000000-0005-0000-0000-0000550A0000}"/>
    <cellStyle name="Normal 8 3 2 2 2 6 2" xfId="6889" xr:uid="{00000000-0005-0000-0000-0000101B0000}"/>
    <cellStyle name="Normal 8 3 2 2 2 6 2 2" xfId="16480" xr:uid="{4C908F9B-3270-4E35-8D64-E16CE1FF2B36}"/>
    <cellStyle name="Normal 8 3 2 2 2 6 3" xfId="12198" xr:uid="{9A48F1A4-26FA-47B4-8F70-B9ACCDD6F03B}"/>
    <cellStyle name="Normal 8 3 2 2 2 7" xfId="4824" xr:uid="{00000000-0005-0000-0000-0000FF120000}"/>
    <cellStyle name="Normal 8 3 2 2 2 7 2" xfId="14415" xr:uid="{36F45BD1-3A11-4C0C-AFD0-5C308B672C84}"/>
    <cellStyle name="Normal 8 3 2 2 2 8" xfId="9108" xr:uid="{00000000-0005-0000-0000-0000BB230000}"/>
    <cellStyle name="Normal 8 3 2 2 2 9" xfId="10060" xr:uid="{2052BB12-30AB-4269-8812-E09AC0E6BAB4}"/>
    <cellStyle name="Normal 8 3 2 2 3" xfId="925" xr:uid="{00000000-0005-0000-0000-0000C4030000}"/>
    <cellStyle name="Normal 8 3 2 2 3 2" xfId="3159" xr:uid="{00000000-0005-0000-0000-00007E0C0000}"/>
    <cellStyle name="Normal 8 3 2 2 3 2 2" xfId="7381" xr:uid="{00000000-0005-0000-0000-0000FC1C0000}"/>
    <cellStyle name="Normal 8 3 2 2 3 2 2 2" xfId="16972" xr:uid="{56741AC1-C038-4D89-BB7F-334BFBC0F5EB}"/>
    <cellStyle name="Normal 8 3 2 2 3 2 3" xfId="12751" xr:uid="{CBAA6282-6C80-4432-BF22-30AE4697760E}"/>
    <cellStyle name="Normal 8 3 2 2 3 3" xfId="5236" xr:uid="{00000000-0005-0000-0000-00009B140000}"/>
    <cellStyle name="Normal 8 3 2 2 3 3 2" xfId="14827" xr:uid="{B9B8EDE1-E236-49CF-869F-F3036CF03BC5}"/>
    <cellStyle name="Normal 8 3 2 2 3 4" xfId="9326" xr:uid="{00000000-0005-0000-0000-000095240000}"/>
    <cellStyle name="Normal 8 3 2 2 3 5" xfId="10518" xr:uid="{B0AE5700-B148-4CC6-8519-0EFC0A8E3823}"/>
    <cellStyle name="Normal 8 3 2 2 4" xfId="1342" xr:uid="{00000000-0005-0000-0000-000065050000}"/>
    <cellStyle name="Normal 8 3 2 2 4 2" xfId="3572" xr:uid="{00000000-0005-0000-0000-00001B0E0000}"/>
    <cellStyle name="Normal 8 3 2 2 4 2 2" xfId="7794" xr:uid="{00000000-0005-0000-0000-0000991E0000}"/>
    <cellStyle name="Normal 8 3 2 2 4 2 2 2" xfId="17385" xr:uid="{806EF8B1-DDD3-4277-8553-CD66B7BCCDE0}"/>
    <cellStyle name="Normal 8 3 2 2 4 2 3" xfId="13164" xr:uid="{8F58FD83-1146-4E22-88AF-72A4DA404F67}"/>
    <cellStyle name="Normal 8 3 2 2 4 3" xfId="5649" xr:uid="{00000000-0005-0000-0000-000038160000}"/>
    <cellStyle name="Normal 8 3 2 2 4 3 2" xfId="15240" xr:uid="{6571EED4-1791-473E-89D6-AE086ACC7280}"/>
    <cellStyle name="Normal 8 3 2 2 4 4" xfId="10935" xr:uid="{603AF669-B63E-4176-9679-A6A0944DFDFB}"/>
    <cellStyle name="Normal 8 3 2 2 5" xfId="1755" xr:uid="{00000000-0005-0000-0000-000002070000}"/>
    <cellStyle name="Normal 8 3 2 2 5 2" xfId="3985" xr:uid="{00000000-0005-0000-0000-0000B80F0000}"/>
    <cellStyle name="Normal 8 3 2 2 5 2 2" xfId="8207" xr:uid="{00000000-0005-0000-0000-000036200000}"/>
    <cellStyle name="Normal 8 3 2 2 5 2 2 2" xfId="17798" xr:uid="{9D294A3A-9717-46CE-B862-7C0D3BDAF3C5}"/>
    <cellStyle name="Normal 8 3 2 2 5 2 3" xfId="13577" xr:uid="{13729F62-FFC1-48CB-983B-297D4AAF0744}"/>
    <cellStyle name="Normal 8 3 2 2 5 3" xfId="6062" xr:uid="{00000000-0005-0000-0000-0000D5170000}"/>
    <cellStyle name="Normal 8 3 2 2 5 3 2" xfId="15653" xr:uid="{322924F6-CF1F-407F-BC45-F5E2BE93E17F}"/>
    <cellStyle name="Normal 8 3 2 2 5 4" xfId="11348" xr:uid="{EFA2BD4B-6432-412D-A69E-9E96B48ED4B0}"/>
    <cellStyle name="Normal 8 3 2 2 6" xfId="2169" xr:uid="{00000000-0005-0000-0000-0000A0080000}"/>
    <cellStyle name="Normal 8 3 2 2 6 2" xfId="4398" xr:uid="{00000000-0005-0000-0000-000055110000}"/>
    <cellStyle name="Normal 8 3 2 2 6 2 2" xfId="8620" xr:uid="{00000000-0005-0000-0000-0000D3210000}"/>
    <cellStyle name="Normal 8 3 2 2 6 2 2 2" xfId="18211" xr:uid="{215C2D03-C100-4DF2-B2E5-DC7E6819F382}"/>
    <cellStyle name="Normal 8 3 2 2 6 2 3" xfId="13990" xr:uid="{77328914-A208-4262-951F-2D94DA9F72F2}"/>
    <cellStyle name="Normal 8 3 2 2 6 3" xfId="6475" xr:uid="{00000000-0005-0000-0000-000072190000}"/>
    <cellStyle name="Normal 8 3 2 2 6 3 2" xfId="16066" xr:uid="{BC69389F-0B2F-422E-BF0C-04EC959E26F1}"/>
    <cellStyle name="Normal 8 3 2 2 6 4" xfId="11761" xr:uid="{1F4BDC8E-D390-4DBB-B391-57FFB39B494C}"/>
    <cellStyle name="Normal 8 3 2 2 7" xfId="2605" xr:uid="{00000000-0005-0000-0000-0000540A0000}"/>
    <cellStyle name="Normal 8 3 2 2 7 2" xfId="6888" xr:uid="{00000000-0005-0000-0000-00000F1B0000}"/>
    <cellStyle name="Normal 8 3 2 2 7 2 2" xfId="16479" xr:uid="{9D21C17D-95A4-4187-A97C-5A37E438080B}"/>
    <cellStyle name="Normal 8 3 2 2 7 3" xfId="12197" xr:uid="{D94A2B8E-24EE-42A3-8CC8-80CA02C4030D}"/>
    <cellStyle name="Normal 8 3 2 2 8" xfId="4823" xr:uid="{00000000-0005-0000-0000-0000FE120000}"/>
    <cellStyle name="Normal 8 3 2 2 8 2" xfId="14414" xr:uid="{2CD5FA56-618C-4ABD-9353-C94444CD3995}"/>
    <cellStyle name="Normal 8 3 2 2 9" xfId="8901" xr:uid="{00000000-0005-0000-0000-0000EC220000}"/>
    <cellStyle name="Normal 8 3 2 3" xfId="463" xr:uid="{00000000-0005-0000-0000-0000F3010000}"/>
    <cellStyle name="Normal 8 3 2 3 2" xfId="927" xr:uid="{00000000-0005-0000-0000-0000C6030000}"/>
    <cellStyle name="Normal 8 3 2 3 2 2" xfId="3161" xr:uid="{00000000-0005-0000-0000-0000800C0000}"/>
    <cellStyle name="Normal 8 3 2 3 2 2 2" xfId="7383" xr:uid="{00000000-0005-0000-0000-0000FE1C0000}"/>
    <cellStyle name="Normal 8 3 2 3 2 2 2 2" xfId="16974" xr:uid="{514E6698-F262-4B5F-BF52-1E30B1FB0E19}"/>
    <cellStyle name="Normal 8 3 2 3 2 2 3" xfId="12753" xr:uid="{E58D9F13-AA3F-4474-8808-C20B15928E16}"/>
    <cellStyle name="Normal 8 3 2 3 2 3" xfId="5238" xr:uid="{00000000-0005-0000-0000-00009D140000}"/>
    <cellStyle name="Normal 8 3 2 3 2 3 2" xfId="14829" xr:uid="{CD00CA92-C140-4EAA-83F6-227E34F9403F}"/>
    <cellStyle name="Normal 8 3 2 3 2 4" xfId="9430" xr:uid="{00000000-0005-0000-0000-0000FD240000}"/>
    <cellStyle name="Normal 8 3 2 3 2 5" xfId="10520" xr:uid="{61A45454-0072-41E0-961B-FF3318E0BB38}"/>
    <cellStyle name="Normal 8 3 2 3 3" xfId="1344" xr:uid="{00000000-0005-0000-0000-000067050000}"/>
    <cellStyle name="Normal 8 3 2 3 3 2" xfId="3574" xr:uid="{00000000-0005-0000-0000-00001D0E0000}"/>
    <cellStyle name="Normal 8 3 2 3 3 2 2" xfId="7796" xr:uid="{00000000-0005-0000-0000-00009B1E0000}"/>
    <cellStyle name="Normal 8 3 2 3 3 2 2 2" xfId="17387" xr:uid="{AECF44B1-39DE-44F9-B584-F0C96FC9B91D}"/>
    <cellStyle name="Normal 8 3 2 3 3 2 3" xfId="13166" xr:uid="{072B8FE4-3ECA-4820-BBA5-93602195300A}"/>
    <cellStyle name="Normal 8 3 2 3 3 3" xfId="5651" xr:uid="{00000000-0005-0000-0000-00003A160000}"/>
    <cellStyle name="Normal 8 3 2 3 3 3 2" xfId="15242" xr:uid="{0362144D-8891-4B33-B76F-5359B9E8206C}"/>
    <cellStyle name="Normal 8 3 2 3 3 4" xfId="10937" xr:uid="{7994C32B-0068-4C4E-99B9-5A8F553E2F7B}"/>
    <cellStyle name="Normal 8 3 2 3 4" xfId="1757" xr:uid="{00000000-0005-0000-0000-000004070000}"/>
    <cellStyle name="Normal 8 3 2 3 4 2" xfId="3987" xr:uid="{00000000-0005-0000-0000-0000BA0F0000}"/>
    <cellStyle name="Normal 8 3 2 3 4 2 2" xfId="8209" xr:uid="{00000000-0005-0000-0000-000038200000}"/>
    <cellStyle name="Normal 8 3 2 3 4 2 2 2" xfId="17800" xr:uid="{D8F11F28-5214-454A-BF9D-85822E785062}"/>
    <cellStyle name="Normal 8 3 2 3 4 2 3" xfId="13579" xr:uid="{62C608CC-46D5-4FE4-A168-9B02816ABB5B}"/>
    <cellStyle name="Normal 8 3 2 3 4 3" xfId="6064" xr:uid="{00000000-0005-0000-0000-0000D7170000}"/>
    <cellStyle name="Normal 8 3 2 3 4 3 2" xfId="15655" xr:uid="{6B4F4986-8BCB-4716-BD5E-40952A1D59E3}"/>
    <cellStyle name="Normal 8 3 2 3 4 4" xfId="11350" xr:uid="{B4F654D3-99D1-47A4-BAE4-D0044DC56622}"/>
    <cellStyle name="Normal 8 3 2 3 5" xfId="2171" xr:uid="{00000000-0005-0000-0000-0000A2080000}"/>
    <cellStyle name="Normal 8 3 2 3 5 2" xfId="4400" xr:uid="{00000000-0005-0000-0000-000057110000}"/>
    <cellStyle name="Normal 8 3 2 3 5 2 2" xfId="8622" xr:uid="{00000000-0005-0000-0000-0000D5210000}"/>
    <cellStyle name="Normal 8 3 2 3 5 2 2 2" xfId="18213" xr:uid="{BB7B6A6F-93D6-47A2-B558-056A5959B19A}"/>
    <cellStyle name="Normal 8 3 2 3 5 2 3" xfId="13992" xr:uid="{94DA884B-32D2-4B4E-8CB9-EDF9BF8495A0}"/>
    <cellStyle name="Normal 8 3 2 3 5 3" xfId="6477" xr:uid="{00000000-0005-0000-0000-000074190000}"/>
    <cellStyle name="Normal 8 3 2 3 5 3 2" xfId="16068" xr:uid="{1CF3549D-0A20-466C-9EF6-6C0E4A3840EE}"/>
    <cellStyle name="Normal 8 3 2 3 5 4" xfId="11763" xr:uid="{42AB79B3-8516-4917-8708-6F7373B7DBE9}"/>
    <cellStyle name="Normal 8 3 2 3 6" xfId="2607" xr:uid="{00000000-0005-0000-0000-0000560A0000}"/>
    <cellStyle name="Normal 8 3 2 3 6 2" xfId="6890" xr:uid="{00000000-0005-0000-0000-0000111B0000}"/>
    <cellStyle name="Normal 8 3 2 3 6 2 2" xfId="16481" xr:uid="{68B3A1A5-91A1-4F65-BFD6-BB91D589E637}"/>
    <cellStyle name="Normal 8 3 2 3 6 3" xfId="12199" xr:uid="{A99B880A-08A8-4017-883E-959CE15FB41F}"/>
    <cellStyle name="Normal 8 3 2 3 7" xfId="4825" xr:uid="{00000000-0005-0000-0000-000000130000}"/>
    <cellStyle name="Normal 8 3 2 3 7 2" xfId="14416" xr:uid="{091D1731-8950-4617-8118-6CB35DDCF54F}"/>
    <cellStyle name="Normal 8 3 2 3 8" xfId="9005" xr:uid="{00000000-0005-0000-0000-000054230000}"/>
    <cellStyle name="Normal 8 3 2 3 9" xfId="10061" xr:uid="{20182975-DFF8-497E-96AC-60BC89FBEFD9}"/>
    <cellStyle name="Normal 8 3 2 4" xfId="924" xr:uid="{00000000-0005-0000-0000-0000C3030000}"/>
    <cellStyle name="Normal 8 3 2 4 2" xfId="3158" xr:uid="{00000000-0005-0000-0000-00007D0C0000}"/>
    <cellStyle name="Normal 8 3 2 4 2 2" xfId="7380" xr:uid="{00000000-0005-0000-0000-0000FB1C0000}"/>
    <cellStyle name="Normal 8 3 2 4 2 2 2" xfId="16971" xr:uid="{EC9D1B93-C11C-4CD3-BEC2-353D4D48515A}"/>
    <cellStyle name="Normal 8 3 2 4 2 3" xfId="12750" xr:uid="{37AF0AB7-72FE-406B-9992-472E9CEED485}"/>
    <cellStyle name="Normal 8 3 2 4 3" xfId="5235" xr:uid="{00000000-0005-0000-0000-00009A140000}"/>
    <cellStyle name="Normal 8 3 2 4 3 2" xfId="14826" xr:uid="{C8DEC54B-8276-4CE6-A061-A4E9787F1E69}"/>
    <cellStyle name="Normal 8 3 2 4 4" xfId="9223" xr:uid="{00000000-0005-0000-0000-00002E240000}"/>
    <cellStyle name="Normal 8 3 2 4 5" xfId="10517" xr:uid="{DAA6729C-C018-431D-8B69-ACEC7DE12D9A}"/>
    <cellStyle name="Normal 8 3 2 5" xfId="1341" xr:uid="{00000000-0005-0000-0000-000064050000}"/>
    <cellStyle name="Normal 8 3 2 5 2" xfId="3571" xr:uid="{00000000-0005-0000-0000-00001A0E0000}"/>
    <cellStyle name="Normal 8 3 2 5 2 2" xfId="7793" xr:uid="{00000000-0005-0000-0000-0000981E0000}"/>
    <cellStyle name="Normal 8 3 2 5 2 2 2" xfId="17384" xr:uid="{AD1FB4DC-CE2A-4C84-8E37-1043403D5F07}"/>
    <cellStyle name="Normal 8 3 2 5 2 3" xfId="13163" xr:uid="{2898340E-45DA-41DC-9CF2-57BCDDAAC213}"/>
    <cellStyle name="Normal 8 3 2 5 3" xfId="5648" xr:uid="{00000000-0005-0000-0000-000037160000}"/>
    <cellStyle name="Normal 8 3 2 5 3 2" xfId="15239" xr:uid="{7AA7F837-9C9A-42E9-8BFD-AE55CB1513C4}"/>
    <cellStyle name="Normal 8 3 2 5 4" xfId="10934" xr:uid="{E0967902-2B7A-4420-BFFB-FA41D9D785C7}"/>
    <cellStyle name="Normal 8 3 2 6" xfId="1754" xr:uid="{00000000-0005-0000-0000-000001070000}"/>
    <cellStyle name="Normal 8 3 2 6 2" xfId="3984" xr:uid="{00000000-0005-0000-0000-0000B70F0000}"/>
    <cellStyle name="Normal 8 3 2 6 2 2" xfId="8206" xr:uid="{00000000-0005-0000-0000-000035200000}"/>
    <cellStyle name="Normal 8 3 2 6 2 2 2" xfId="17797" xr:uid="{2B51A847-5872-45D0-82C5-E045BA8FF9ED}"/>
    <cellStyle name="Normal 8 3 2 6 2 3" xfId="13576" xr:uid="{0F2B1AD7-1498-4287-88EB-7F1525E5DA3A}"/>
    <cellStyle name="Normal 8 3 2 6 3" xfId="6061" xr:uid="{00000000-0005-0000-0000-0000D4170000}"/>
    <cellStyle name="Normal 8 3 2 6 3 2" xfId="15652" xr:uid="{B378332A-C5B9-40F1-9B87-808311DE8D8D}"/>
    <cellStyle name="Normal 8 3 2 6 4" xfId="11347" xr:uid="{6581DB76-4DBE-4C42-972D-09BF6DD01947}"/>
    <cellStyle name="Normal 8 3 2 7" xfId="2168" xr:uid="{00000000-0005-0000-0000-00009F080000}"/>
    <cellStyle name="Normal 8 3 2 7 2" xfId="4397" xr:uid="{00000000-0005-0000-0000-000054110000}"/>
    <cellStyle name="Normal 8 3 2 7 2 2" xfId="8619" xr:uid="{00000000-0005-0000-0000-0000D2210000}"/>
    <cellStyle name="Normal 8 3 2 7 2 2 2" xfId="18210" xr:uid="{5C75D227-CB72-4E86-B71F-F9A7E5CD1D60}"/>
    <cellStyle name="Normal 8 3 2 7 2 3" xfId="13989" xr:uid="{EF842D8A-540E-4AC4-A56A-EEE32375E617}"/>
    <cellStyle name="Normal 8 3 2 7 3" xfId="6474" xr:uid="{00000000-0005-0000-0000-000071190000}"/>
    <cellStyle name="Normal 8 3 2 7 3 2" xfId="16065" xr:uid="{B7EDE379-3486-4374-AD9C-4E3A5B7D6648}"/>
    <cellStyle name="Normal 8 3 2 7 4" xfId="11760" xr:uid="{6977A44E-1590-4909-8E90-9591FD9F1E96}"/>
    <cellStyle name="Normal 8 3 2 8" xfId="2604" xr:uid="{00000000-0005-0000-0000-0000530A0000}"/>
    <cellStyle name="Normal 8 3 2 8 2" xfId="6887" xr:uid="{00000000-0005-0000-0000-00000E1B0000}"/>
    <cellStyle name="Normal 8 3 2 8 2 2" xfId="16478" xr:uid="{38754D8E-A5B9-42F5-8128-C05E07273502}"/>
    <cellStyle name="Normal 8 3 2 8 3" xfId="12196" xr:uid="{E4A217CC-5491-41CD-B786-7E0147583079}"/>
    <cellStyle name="Normal 8 3 2 9" xfId="4822" xr:uid="{00000000-0005-0000-0000-0000FD120000}"/>
    <cellStyle name="Normal 8 3 2 9 2" xfId="14413" xr:uid="{6FC0C2D2-74FF-417A-AA42-1AB818106BCD}"/>
    <cellStyle name="Normal 8 3 3" xfId="464" xr:uid="{00000000-0005-0000-0000-0000F4010000}"/>
    <cellStyle name="Normal 8 3 3 10" xfId="10062" xr:uid="{E18592BF-8D7D-4113-8225-11244486541B}"/>
    <cellStyle name="Normal 8 3 3 2" xfId="465" xr:uid="{00000000-0005-0000-0000-0000F5010000}"/>
    <cellStyle name="Normal 8 3 3 2 2" xfId="929" xr:uid="{00000000-0005-0000-0000-0000C8030000}"/>
    <cellStyle name="Normal 8 3 3 2 2 2" xfId="3163" xr:uid="{00000000-0005-0000-0000-0000820C0000}"/>
    <cellStyle name="Normal 8 3 3 2 2 2 2" xfId="7385" xr:uid="{00000000-0005-0000-0000-0000001D0000}"/>
    <cellStyle name="Normal 8 3 3 2 2 2 2 2" xfId="16976" xr:uid="{776EE106-3DD3-4AC3-937C-18CFE48D1EFE}"/>
    <cellStyle name="Normal 8 3 3 2 2 2 3" xfId="12755" xr:uid="{0CF71D39-A720-4BEF-9DFD-F8A362A43229}"/>
    <cellStyle name="Normal 8 3 3 2 2 3" xfId="5240" xr:uid="{00000000-0005-0000-0000-00009F140000}"/>
    <cellStyle name="Normal 8 3 3 2 2 3 2" xfId="14831" xr:uid="{41BF6369-E05A-4113-86BB-713CD55A1BDA}"/>
    <cellStyle name="Normal 8 3 3 2 2 4" xfId="9470" xr:uid="{00000000-0005-0000-0000-000025250000}"/>
    <cellStyle name="Normal 8 3 3 2 2 5" xfId="10522" xr:uid="{396C04B6-8052-4BBD-A580-1574A87D5205}"/>
    <cellStyle name="Normal 8 3 3 2 3" xfId="1346" xr:uid="{00000000-0005-0000-0000-000069050000}"/>
    <cellStyle name="Normal 8 3 3 2 3 2" xfId="3576" xr:uid="{00000000-0005-0000-0000-00001F0E0000}"/>
    <cellStyle name="Normal 8 3 3 2 3 2 2" xfId="7798" xr:uid="{00000000-0005-0000-0000-00009D1E0000}"/>
    <cellStyle name="Normal 8 3 3 2 3 2 2 2" xfId="17389" xr:uid="{B21B2189-A15F-4BAA-92B2-23E54216841E}"/>
    <cellStyle name="Normal 8 3 3 2 3 2 3" xfId="13168" xr:uid="{A5C8D1F1-8CAD-40EA-8B71-8D037AC24F35}"/>
    <cellStyle name="Normal 8 3 3 2 3 3" xfId="5653" xr:uid="{00000000-0005-0000-0000-00003C160000}"/>
    <cellStyle name="Normal 8 3 3 2 3 3 2" xfId="15244" xr:uid="{6F7393ED-60C0-4483-B1C0-AF0DF2CFFBC4}"/>
    <cellStyle name="Normal 8 3 3 2 3 4" xfId="10939" xr:uid="{FB58153F-4B3A-4732-A1D5-C64F421C1320}"/>
    <cellStyle name="Normal 8 3 3 2 4" xfId="1759" xr:uid="{00000000-0005-0000-0000-000006070000}"/>
    <cellStyle name="Normal 8 3 3 2 4 2" xfId="3989" xr:uid="{00000000-0005-0000-0000-0000BC0F0000}"/>
    <cellStyle name="Normal 8 3 3 2 4 2 2" xfId="8211" xr:uid="{00000000-0005-0000-0000-00003A200000}"/>
    <cellStyle name="Normal 8 3 3 2 4 2 2 2" xfId="17802" xr:uid="{0C5DFF7C-DF30-4C17-B810-5A1BC8808B26}"/>
    <cellStyle name="Normal 8 3 3 2 4 2 3" xfId="13581" xr:uid="{EEA7F091-D3ED-41B3-9188-E6585A16EF31}"/>
    <cellStyle name="Normal 8 3 3 2 4 3" xfId="6066" xr:uid="{00000000-0005-0000-0000-0000D9170000}"/>
    <cellStyle name="Normal 8 3 3 2 4 3 2" xfId="15657" xr:uid="{5CA4A351-8E00-4DDF-B4A1-06B38178452C}"/>
    <cellStyle name="Normal 8 3 3 2 4 4" xfId="11352" xr:uid="{E2BB3FC1-EF7B-46A1-B711-66C3B9A0E7F3}"/>
    <cellStyle name="Normal 8 3 3 2 5" xfId="2173" xr:uid="{00000000-0005-0000-0000-0000A4080000}"/>
    <cellStyle name="Normal 8 3 3 2 5 2" xfId="4402" xr:uid="{00000000-0005-0000-0000-000059110000}"/>
    <cellStyle name="Normal 8 3 3 2 5 2 2" xfId="8624" xr:uid="{00000000-0005-0000-0000-0000D7210000}"/>
    <cellStyle name="Normal 8 3 3 2 5 2 2 2" xfId="18215" xr:uid="{C5D8EF56-FE67-4209-B510-2ABBA2905509}"/>
    <cellStyle name="Normal 8 3 3 2 5 2 3" xfId="13994" xr:uid="{9587493A-A6BA-4D95-8102-2B26F813F2A7}"/>
    <cellStyle name="Normal 8 3 3 2 5 3" xfId="6479" xr:uid="{00000000-0005-0000-0000-000076190000}"/>
    <cellStyle name="Normal 8 3 3 2 5 3 2" xfId="16070" xr:uid="{1C5CFDCF-78D8-47F5-99E4-DEC1F979E0C6}"/>
    <cellStyle name="Normal 8 3 3 2 5 4" xfId="11765" xr:uid="{B36ACBB1-672C-487D-AFE8-47DC50CBD853}"/>
    <cellStyle name="Normal 8 3 3 2 6" xfId="2609" xr:uid="{00000000-0005-0000-0000-0000580A0000}"/>
    <cellStyle name="Normal 8 3 3 2 6 2" xfId="6892" xr:uid="{00000000-0005-0000-0000-0000131B0000}"/>
    <cellStyle name="Normal 8 3 3 2 6 2 2" xfId="16483" xr:uid="{92C45C0E-8A09-4C6D-B015-123393D4AFE2}"/>
    <cellStyle name="Normal 8 3 3 2 6 3" xfId="12201" xr:uid="{4D380DBB-C779-4FF6-A58B-B266C7E159AC}"/>
    <cellStyle name="Normal 8 3 3 2 7" xfId="4827" xr:uid="{00000000-0005-0000-0000-000002130000}"/>
    <cellStyle name="Normal 8 3 3 2 7 2" xfId="14418" xr:uid="{E13F6209-1240-439D-933E-D56D5C1D1F3A}"/>
    <cellStyle name="Normal 8 3 3 2 8" xfId="9045" xr:uid="{00000000-0005-0000-0000-00007C230000}"/>
    <cellStyle name="Normal 8 3 3 2 9" xfId="10063" xr:uid="{4AA81CF7-D386-427C-9C3B-70DC2265A5BB}"/>
    <cellStyle name="Normal 8 3 3 3" xfId="928" xr:uid="{00000000-0005-0000-0000-0000C7030000}"/>
    <cellStyle name="Normal 8 3 3 3 2" xfId="3162" xr:uid="{00000000-0005-0000-0000-0000810C0000}"/>
    <cellStyle name="Normal 8 3 3 3 2 2" xfId="7384" xr:uid="{00000000-0005-0000-0000-0000FF1C0000}"/>
    <cellStyle name="Normal 8 3 3 3 2 2 2" xfId="16975" xr:uid="{6E1BADB2-283A-4D86-B0CE-8376F1EBBCBF}"/>
    <cellStyle name="Normal 8 3 3 3 2 3" xfId="12754" xr:uid="{E79FE60B-1A52-41E6-B8D2-D2B5B344B553}"/>
    <cellStyle name="Normal 8 3 3 3 3" xfId="5239" xr:uid="{00000000-0005-0000-0000-00009E140000}"/>
    <cellStyle name="Normal 8 3 3 3 3 2" xfId="14830" xr:uid="{E0DFD0AA-874D-4824-B41E-B3745E829CEE}"/>
    <cellStyle name="Normal 8 3 3 3 4" xfId="9263" xr:uid="{00000000-0005-0000-0000-000056240000}"/>
    <cellStyle name="Normal 8 3 3 3 5" xfId="10521" xr:uid="{0A875D3D-1D73-43CB-A61B-7399528BF3E6}"/>
    <cellStyle name="Normal 8 3 3 4" xfId="1345" xr:uid="{00000000-0005-0000-0000-000068050000}"/>
    <cellStyle name="Normal 8 3 3 4 2" xfId="3575" xr:uid="{00000000-0005-0000-0000-00001E0E0000}"/>
    <cellStyle name="Normal 8 3 3 4 2 2" xfId="7797" xr:uid="{00000000-0005-0000-0000-00009C1E0000}"/>
    <cellStyle name="Normal 8 3 3 4 2 2 2" xfId="17388" xr:uid="{5424C9CE-3AC2-4A33-9644-C8B6AC19BC2A}"/>
    <cellStyle name="Normal 8 3 3 4 2 3" xfId="13167" xr:uid="{1E7D191A-2CF7-4A60-8E3C-BFEA0E9C1F20}"/>
    <cellStyle name="Normal 8 3 3 4 3" xfId="5652" xr:uid="{00000000-0005-0000-0000-00003B160000}"/>
    <cellStyle name="Normal 8 3 3 4 3 2" xfId="15243" xr:uid="{0EE49A27-86F0-4E8C-B03A-58BBF145DF05}"/>
    <cellStyle name="Normal 8 3 3 4 4" xfId="10938" xr:uid="{0F009188-C5EF-4949-990E-7BB8B2786F74}"/>
    <cellStyle name="Normal 8 3 3 5" xfId="1758" xr:uid="{00000000-0005-0000-0000-000005070000}"/>
    <cellStyle name="Normal 8 3 3 5 2" xfId="3988" xr:uid="{00000000-0005-0000-0000-0000BB0F0000}"/>
    <cellStyle name="Normal 8 3 3 5 2 2" xfId="8210" xr:uid="{00000000-0005-0000-0000-000039200000}"/>
    <cellStyle name="Normal 8 3 3 5 2 2 2" xfId="17801" xr:uid="{E8647FF4-A013-446C-969E-7C6765CE82DD}"/>
    <cellStyle name="Normal 8 3 3 5 2 3" xfId="13580" xr:uid="{A1E3B714-0EAF-44A9-9D29-D45BA9611707}"/>
    <cellStyle name="Normal 8 3 3 5 3" xfId="6065" xr:uid="{00000000-0005-0000-0000-0000D8170000}"/>
    <cellStyle name="Normal 8 3 3 5 3 2" xfId="15656" xr:uid="{5C428A75-1DEA-4DCA-A42A-C428AEE8ACFC}"/>
    <cellStyle name="Normal 8 3 3 5 4" xfId="11351" xr:uid="{F9DB3361-09CF-42BF-A40E-240A097B27F2}"/>
    <cellStyle name="Normal 8 3 3 6" xfId="2172" xr:uid="{00000000-0005-0000-0000-0000A3080000}"/>
    <cellStyle name="Normal 8 3 3 6 2" xfId="4401" xr:uid="{00000000-0005-0000-0000-000058110000}"/>
    <cellStyle name="Normal 8 3 3 6 2 2" xfId="8623" xr:uid="{00000000-0005-0000-0000-0000D6210000}"/>
    <cellStyle name="Normal 8 3 3 6 2 2 2" xfId="18214" xr:uid="{0545E7E2-FE62-4B56-BC1D-B5A9F3DA6F49}"/>
    <cellStyle name="Normal 8 3 3 6 2 3" xfId="13993" xr:uid="{A5121720-2450-4C96-88D7-F27E5A74DAF6}"/>
    <cellStyle name="Normal 8 3 3 6 3" xfId="6478" xr:uid="{00000000-0005-0000-0000-000075190000}"/>
    <cellStyle name="Normal 8 3 3 6 3 2" xfId="16069" xr:uid="{47A6C7D7-6420-4D5B-BB0B-567C5C6BD18E}"/>
    <cellStyle name="Normal 8 3 3 6 4" xfId="11764" xr:uid="{233127F8-FA92-4491-A48B-A817CDEE2FDC}"/>
    <cellStyle name="Normal 8 3 3 7" xfId="2608" xr:uid="{00000000-0005-0000-0000-0000570A0000}"/>
    <cellStyle name="Normal 8 3 3 7 2" xfId="6891" xr:uid="{00000000-0005-0000-0000-0000121B0000}"/>
    <cellStyle name="Normal 8 3 3 7 2 2" xfId="16482" xr:uid="{0FAB408B-397F-467E-AAAF-A1D30D90D206}"/>
    <cellStyle name="Normal 8 3 3 7 3" xfId="12200" xr:uid="{C4BB981B-72E5-4AC4-9C95-C6B1B4DFDC3F}"/>
    <cellStyle name="Normal 8 3 3 8" xfId="4826" xr:uid="{00000000-0005-0000-0000-000001130000}"/>
    <cellStyle name="Normal 8 3 3 8 2" xfId="14417" xr:uid="{FE7C428F-E978-4518-9BA5-5BE0E0858D0E}"/>
    <cellStyle name="Normal 8 3 3 9" xfId="8838" xr:uid="{00000000-0005-0000-0000-0000AD220000}"/>
    <cellStyle name="Normal 8 3 4" xfId="466" xr:uid="{00000000-0005-0000-0000-0000F6010000}"/>
    <cellStyle name="Normal 8 3 4 2" xfId="930" xr:uid="{00000000-0005-0000-0000-0000C9030000}"/>
    <cellStyle name="Normal 8 3 4 2 2" xfId="3164" xr:uid="{00000000-0005-0000-0000-0000830C0000}"/>
    <cellStyle name="Normal 8 3 4 2 2 2" xfId="7386" xr:uid="{00000000-0005-0000-0000-0000011D0000}"/>
    <cellStyle name="Normal 8 3 4 2 2 2 2" xfId="16977" xr:uid="{CFFA95C5-04E9-448E-AF9E-DDEB032C9AC9}"/>
    <cellStyle name="Normal 8 3 4 2 2 3" xfId="12756" xr:uid="{E4B3742C-AB3C-4C41-9622-87DC000A1B2D}"/>
    <cellStyle name="Normal 8 3 4 2 3" xfId="5241" xr:uid="{00000000-0005-0000-0000-0000A0140000}"/>
    <cellStyle name="Normal 8 3 4 2 3 2" xfId="14832" xr:uid="{2C5435E8-809D-49B0-81D1-345C2828B26D}"/>
    <cellStyle name="Normal 8 3 4 2 4" xfId="9367" xr:uid="{00000000-0005-0000-0000-0000BE240000}"/>
    <cellStyle name="Normal 8 3 4 2 5" xfId="10523" xr:uid="{D978412E-40D2-4E6B-A09F-5377B25225E7}"/>
    <cellStyle name="Normal 8 3 4 3" xfId="1347" xr:uid="{00000000-0005-0000-0000-00006A050000}"/>
    <cellStyle name="Normal 8 3 4 3 2" xfId="3577" xr:uid="{00000000-0005-0000-0000-0000200E0000}"/>
    <cellStyle name="Normal 8 3 4 3 2 2" xfId="7799" xr:uid="{00000000-0005-0000-0000-00009E1E0000}"/>
    <cellStyle name="Normal 8 3 4 3 2 2 2" xfId="17390" xr:uid="{8224A2F0-1AF3-45D8-B39B-B3DCAD575296}"/>
    <cellStyle name="Normal 8 3 4 3 2 3" xfId="13169" xr:uid="{5649844E-8197-4C1F-9AE8-7E8D7C86023D}"/>
    <cellStyle name="Normal 8 3 4 3 3" xfId="5654" xr:uid="{00000000-0005-0000-0000-00003D160000}"/>
    <cellStyle name="Normal 8 3 4 3 3 2" xfId="15245" xr:uid="{F4825692-9F77-4D04-BD7F-525EF11BFB31}"/>
    <cellStyle name="Normal 8 3 4 3 4" xfId="10940" xr:uid="{D6E72376-28C1-444F-8C33-EE4ECA2A0537}"/>
    <cellStyle name="Normal 8 3 4 4" xfId="1760" xr:uid="{00000000-0005-0000-0000-000007070000}"/>
    <cellStyle name="Normal 8 3 4 4 2" xfId="3990" xr:uid="{00000000-0005-0000-0000-0000BD0F0000}"/>
    <cellStyle name="Normal 8 3 4 4 2 2" xfId="8212" xr:uid="{00000000-0005-0000-0000-00003B200000}"/>
    <cellStyle name="Normal 8 3 4 4 2 2 2" xfId="17803" xr:uid="{2FD38156-26D4-4F92-B619-B0F5786E23B9}"/>
    <cellStyle name="Normal 8 3 4 4 2 3" xfId="13582" xr:uid="{6131C44A-D42E-4F84-A499-583F694E3ABF}"/>
    <cellStyle name="Normal 8 3 4 4 3" xfId="6067" xr:uid="{00000000-0005-0000-0000-0000DA170000}"/>
    <cellStyle name="Normal 8 3 4 4 3 2" xfId="15658" xr:uid="{48B20754-5161-44E0-AFC8-56F7CC8E0EE6}"/>
    <cellStyle name="Normal 8 3 4 4 4" xfId="11353" xr:uid="{96D5DB54-58D8-4386-B1C8-F63FD44B022D}"/>
    <cellStyle name="Normal 8 3 4 5" xfId="2174" xr:uid="{00000000-0005-0000-0000-0000A5080000}"/>
    <cellStyle name="Normal 8 3 4 5 2" xfId="4403" xr:uid="{00000000-0005-0000-0000-00005A110000}"/>
    <cellStyle name="Normal 8 3 4 5 2 2" xfId="8625" xr:uid="{00000000-0005-0000-0000-0000D8210000}"/>
    <cellStyle name="Normal 8 3 4 5 2 2 2" xfId="18216" xr:uid="{B320FE38-6CAE-470E-97A5-E28988F97B54}"/>
    <cellStyle name="Normal 8 3 4 5 2 3" xfId="13995" xr:uid="{3CE1F09C-E489-4B7A-830B-D02E9B51F9E5}"/>
    <cellStyle name="Normal 8 3 4 5 3" xfId="6480" xr:uid="{00000000-0005-0000-0000-000077190000}"/>
    <cellStyle name="Normal 8 3 4 5 3 2" xfId="16071" xr:uid="{AE833F9A-7344-41C3-8F69-55D9278C8E69}"/>
    <cellStyle name="Normal 8 3 4 5 4" xfId="11766" xr:uid="{ADE48B8D-F829-44F6-8C55-777122414AD0}"/>
    <cellStyle name="Normal 8 3 4 6" xfId="2610" xr:uid="{00000000-0005-0000-0000-0000590A0000}"/>
    <cellStyle name="Normal 8 3 4 6 2" xfId="6893" xr:uid="{00000000-0005-0000-0000-0000141B0000}"/>
    <cellStyle name="Normal 8 3 4 6 2 2" xfId="16484" xr:uid="{04976062-436C-4736-946F-79C47EE4AB5C}"/>
    <cellStyle name="Normal 8 3 4 6 3" xfId="12202" xr:uid="{56EE9A1D-9780-48B0-A6FC-AD6C775A5CD3}"/>
    <cellStyle name="Normal 8 3 4 7" xfId="4828" xr:uid="{00000000-0005-0000-0000-000003130000}"/>
    <cellStyle name="Normal 8 3 4 7 2" xfId="14419" xr:uid="{277BBE46-E58C-42CF-AC04-A35A9F1546B6}"/>
    <cellStyle name="Normal 8 3 4 8" xfId="8942" xr:uid="{00000000-0005-0000-0000-000015230000}"/>
    <cellStyle name="Normal 8 3 4 9" xfId="10064" xr:uid="{446F6D8D-ECFD-44F2-9DCE-EE69047A1322}"/>
    <cellStyle name="Normal 8 3 5" xfId="923" xr:uid="{00000000-0005-0000-0000-0000C2030000}"/>
    <cellStyle name="Normal 8 3 5 2" xfId="3157" xr:uid="{00000000-0005-0000-0000-00007C0C0000}"/>
    <cellStyle name="Normal 8 3 5 2 2" xfId="7379" xr:uid="{00000000-0005-0000-0000-0000FA1C0000}"/>
    <cellStyle name="Normal 8 3 5 2 2 2" xfId="16970" xr:uid="{69834323-3823-4989-A98B-40D9E551E12B}"/>
    <cellStyle name="Normal 8 3 5 2 3" xfId="12749" xr:uid="{4B8068E4-000A-4D66-AC56-58A6755139B5}"/>
    <cellStyle name="Normal 8 3 5 3" xfId="5234" xr:uid="{00000000-0005-0000-0000-000099140000}"/>
    <cellStyle name="Normal 8 3 5 3 2" xfId="14825" xr:uid="{DAA30F50-8EB3-40C1-B25C-EFAE18C722B3}"/>
    <cellStyle name="Normal 8 3 5 4" xfId="9159" xr:uid="{00000000-0005-0000-0000-0000EE230000}"/>
    <cellStyle name="Normal 8 3 5 5" xfId="10516" xr:uid="{797F6240-4D16-4CB0-A039-9880729C5C45}"/>
    <cellStyle name="Normal 8 3 6" xfId="1340" xr:uid="{00000000-0005-0000-0000-000063050000}"/>
    <cellStyle name="Normal 8 3 6 2" xfId="3570" xr:uid="{00000000-0005-0000-0000-0000190E0000}"/>
    <cellStyle name="Normal 8 3 6 2 2" xfId="7792" xr:uid="{00000000-0005-0000-0000-0000971E0000}"/>
    <cellStyle name="Normal 8 3 6 2 2 2" xfId="17383" xr:uid="{EC010C42-1133-44CD-93BD-260FF89560D5}"/>
    <cellStyle name="Normal 8 3 6 2 3" xfId="13162" xr:uid="{C1053CB1-51A8-47F4-B4B6-9CC9CFC50A42}"/>
    <cellStyle name="Normal 8 3 6 3" xfId="5647" xr:uid="{00000000-0005-0000-0000-000036160000}"/>
    <cellStyle name="Normal 8 3 6 3 2" xfId="15238" xr:uid="{CEF2FA6B-72FA-451D-8C60-6C7067A1D169}"/>
    <cellStyle name="Normal 8 3 6 4" xfId="10933" xr:uid="{80C25D8B-CEA9-45C5-BD72-81B8822BD9F7}"/>
    <cellStyle name="Normal 8 3 7" xfId="1753" xr:uid="{00000000-0005-0000-0000-000000070000}"/>
    <cellStyle name="Normal 8 3 7 2" xfId="3983" xr:uid="{00000000-0005-0000-0000-0000B60F0000}"/>
    <cellStyle name="Normal 8 3 7 2 2" xfId="8205" xr:uid="{00000000-0005-0000-0000-000034200000}"/>
    <cellStyle name="Normal 8 3 7 2 2 2" xfId="17796" xr:uid="{A03D14F2-AA74-4610-BE93-1EB74715AD52}"/>
    <cellStyle name="Normal 8 3 7 2 3" xfId="13575" xr:uid="{8D6776E4-D5B5-4E7B-A6F9-5026E22D6FBD}"/>
    <cellStyle name="Normal 8 3 7 3" xfId="6060" xr:uid="{00000000-0005-0000-0000-0000D3170000}"/>
    <cellStyle name="Normal 8 3 7 3 2" xfId="15651" xr:uid="{BEF8B4D5-A05E-43AC-8EE8-DDCB53327C4E}"/>
    <cellStyle name="Normal 8 3 7 4" xfId="11346" xr:uid="{2AE298E8-27DB-4529-A2C7-CA2C6F256F13}"/>
    <cellStyle name="Normal 8 3 8" xfId="2167" xr:uid="{00000000-0005-0000-0000-00009E080000}"/>
    <cellStyle name="Normal 8 3 8 2" xfId="4396" xr:uid="{00000000-0005-0000-0000-000053110000}"/>
    <cellStyle name="Normal 8 3 8 2 2" xfId="8618" xr:uid="{00000000-0005-0000-0000-0000D1210000}"/>
    <cellStyle name="Normal 8 3 8 2 2 2" xfId="18209" xr:uid="{690E035B-3249-4FB6-A84F-2B3CA467406E}"/>
    <cellStyle name="Normal 8 3 8 2 3" xfId="13988" xr:uid="{54B00629-9397-4BF4-94DA-D63D81C26709}"/>
    <cellStyle name="Normal 8 3 8 3" xfId="6473" xr:uid="{00000000-0005-0000-0000-000070190000}"/>
    <cellStyle name="Normal 8 3 8 3 2" xfId="16064" xr:uid="{9C8F1579-61F4-4CF6-896F-89D1CF1CE362}"/>
    <cellStyle name="Normal 8 3 8 4" xfId="11759" xr:uid="{E3A9CCC6-2A69-426A-B73C-AB48891B1F6D}"/>
    <cellStyle name="Normal 8 3 9" xfId="2603" xr:uid="{00000000-0005-0000-0000-0000520A0000}"/>
    <cellStyle name="Normal 8 3 9 2" xfId="6886" xr:uid="{00000000-0005-0000-0000-00000D1B0000}"/>
    <cellStyle name="Normal 8 3 9 2 2" xfId="16477" xr:uid="{763F355B-FD77-4ECE-BC95-0EB81FD23B8B}"/>
    <cellStyle name="Normal 8 3 9 3" xfId="12195" xr:uid="{6A5FEC4D-7476-4B16-879D-7E48906E78F7}"/>
    <cellStyle name="Normal 8 4" xfId="467" xr:uid="{00000000-0005-0000-0000-0000F7010000}"/>
    <cellStyle name="Normal 8 4 10" xfId="8795" xr:uid="{00000000-0005-0000-0000-000082220000}"/>
    <cellStyle name="Normal 8 4 11" xfId="10065" xr:uid="{6F59501A-A4C9-48CB-8BFA-735C805EDFD5}"/>
    <cellStyle name="Normal 8 4 2" xfId="468" xr:uid="{00000000-0005-0000-0000-0000F8010000}"/>
    <cellStyle name="Normal 8 4 2 10" xfId="10066" xr:uid="{59C1E145-A17B-4804-8B93-77C7F54A0CD6}"/>
    <cellStyle name="Normal 8 4 2 2" xfId="469" xr:uid="{00000000-0005-0000-0000-0000F9010000}"/>
    <cellStyle name="Normal 8 4 2 2 2" xfId="933" xr:uid="{00000000-0005-0000-0000-0000CC030000}"/>
    <cellStyle name="Normal 8 4 2 2 2 2" xfId="3167" xr:uid="{00000000-0005-0000-0000-0000860C0000}"/>
    <cellStyle name="Normal 8 4 2 2 2 2 2" xfId="7389" xr:uid="{00000000-0005-0000-0000-0000041D0000}"/>
    <cellStyle name="Normal 8 4 2 2 2 2 2 2" xfId="16980" xr:uid="{4F33520D-2E36-4D51-92F4-F2CA03A7E564}"/>
    <cellStyle name="Normal 8 4 2 2 2 2 3" xfId="12759" xr:uid="{F1AC95EB-693A-4EE8-B1F5-EE4225A8593A}"/>
    <cellStyle name="Normal 8 4 2 2 2 3" xfId="5244" xr:uid="{00000000-0005-0000-0000-0000A3140000}"/>
    <cellStyle name="Normal 8 4 2 2 2 3 2" xfId="14835" xr:uid="{BC7A51AE-65C7-49FB-827D-7143605BD84F}"/>
    <cellStyle name="Normal 8 4 2 2 2 4" xfId="9530" xr:uid="{00000000-0005-0000-0000-000061250000}"/>
    <cellStyle name="Normal 8 4 2 2 2 5" xfId="10526" xr:uid="{1E4A188C-119B-456D-9446-64324E03FBA5}"/>
    <cellStyle name="Normal 8 4 2 2 3" xfId="1350" xr:uid="{00000000-0005-0000-0000-00006D050000}"/>
    <cellStyle name="Normal 8 4 2 2 3 2" xfId="3580" xr:uid="{00000000-0005-0000-0000-0000230E0000}"/>
    <cellStyle name="Normal 8 4 2 2 3 2 2" xfId="7802" xr:uid="{00000000-0005-0000-0000-0000A11E0000}"/>
    <cellStyle name="Normal 8 4 2 2 3 2 2 2" xfId="17393" xr:uid="{CEC43963-A6E4-4F70-9F83-C54AF3761A6A}"/>
    <cellStyle name="Normal 8 4 2 2 3 2 3" xfId="13172" xr:uid="{E38AE921-285F-42DE-831C-FA364A7B3A81}"/>
    <cellStyle name="Normal 8 4 2 2 3 3" xfId="5657" xr:uid="{00000000-0005-0000-0000-000040160000}"/>
    <cellStyle name="Normal 8 4 2 2 3 3 2" xfId="15248" xr:uid="{9AB470D5-EFB4-4D71-B6A3-C4F6A9FF34B3}"/>
    <cellStyle name="Normal 8 4 2 2 3 4" xfId="10943" xr:uid="{4806D524-8C98-4685-AF30-63300024D574}"/>
    <cellStyle name="Normal 8 4 2 2 4" xfId="1763" xr:uid="{00000000-0005-0000-0000-00000A070000}"/>
    <cellStyle name="Normal 8 4 2 2 4 2" xfId="3993" xr:uid="{00000000-0005-0000-0000-0000C00F0000}"/>
    <cellStyle name="Normal 8 4 2 2 4 2 2" xfId="8215" xr:uid="{00000000-0005-0000-0000-00003E200000}"/>
    <cellStyle name="Normal 8 4 2 2 4 2 2 2" xfId="17806" xr:uid="{14FA3527-2956-4A2D-B349-B33765317253}"/>
    <cellStyle name="Normal 8 4 2 2 4 2 3" xfId="13585" xr:uid="{21FDBDAC-15AE-46DD-9C68-12FD7026AB3A}"/>
    <cellStyle name="Normal 8 4 2 2 4 3" xfId="6070" xr:uid="{00000000-0005-0000-0000-0000DD170000}"/>
    <cellStyle name="Normal 8 4 2 2 4 3 2" xfId="15661" xr:uid="{D1225DC6-15A0-4548-AD59-EDA13442A0D1}"/>
    <cellStyle name="Normal 8 4 2 2 4 4" xfId="11356" xr:uid="{9FCB9D18-3A03-4F96-ADC2-ED40788A12E9}"/>
    <cellStyle name="Normal 8 4 2 2 5" xfId="2177" xr:uid="{00000000-0005-0000-0000-0000A8080000}"/>
    <cellStyle name="Normal 8 4 2 2 5 2" xfId="4406" xr:uid="{00000000-0005-0000-0000-00005D110000}"/>
    <cellStyle name="Normal 8 4 2 2 5 2 2" xfId="8628" xr:uid="{00000000-0005-0000-0000-0000DB210000}"/>
    <cellStyle name="Normal 8 4 2 2 5 2 2 2" xfId="18219" xr:uid="{E9CA2C5A-6C5E-4326-A2E3-0559936DE411}"/>
    <cellStyle name="Normal 8 4 2 2 5 2 3" xfId="13998" xr:uid="{141A7309-F74F-4DE1-9F37-52CFC7EE1FFB}"/>
    <cellStyle name="Normal 8 4 2 2 5 3" xfId="6483" xr:uid="{00000000-0005-0000-0000-00007A190000}"/>
    <cellStyle name="Normal 8 4 2 2 5 3 2" xfId="16074" xr:uid="{9D3E3C90-F814-4574-AE8A-8236164A0079}"/>
    <cellStyle name="Normal 8 4 2 2 5 4" xfId="11769" xr:uid="{6F7D6AEC-0E06-4194-8FD0-F50F2031870E}"/>
    <cellStyle name="Normal 8 4 2 2 6" xfId="2613" xr:uid="{00000000-0005-0000-0000-00005C0A0000}"/>
    <cellStyle name="Normal 8 4 2 2 6 2" xfId="6896" xr:uid="{00000000-0005-0000-0000-0000171B0000}"/>
    <cellStyle name="Normal 8 4 2 2 6 2 2" xfId="16487" xr:uid="{D9592514-9D14-42B6-89DC-8F2BDB15474C}"/>
    <cellStyle name="Normal 8 4 2 2 6 3" xfId="12205" xr:uid="{778EFCAA-588E-4E40-AC1A-B017ACB34E8E}"/>
    <cellStyle name="Normal 8 4 2 2 7" xfId="4831" xr:uid="{00000000-0005-0000-0000-000006130000}"/>
    <cellStyle name="Normal 8 4 2 2 7 2" xfId="14422" xr:uid="{034D3FEF-92B9-4B58-99E5-7D513B1C0F79}"/>
    <cellStyle name="Normal 8 4 2 2 8" xfId="9105" xr:uid="{00000000-0005-0000-0000-0000B8230000}"/>
    <cellStyle name="Normal 8 4 2 2 9" xfId="10067" xr:uid="{2E146861-F57A-41F5-A9F9-F70E197B4421}"/>
    <cellStyle name="Normal 8 4 2 3" xfId="932" xr:uid="{00000000-0005-0000-0000-0000CB030000}"/>
    <cellStyle name="Normal 8 4 2 3 2" xfId="3166" xr:uid="{00000000-0005-0000-0000-0000850C0000}"/>
    <cellStyle name="Normal 8 4 2 3 2 2" xfId="7388" xr:uid="{00000000-0005-0000-0000-0000031D0000}"/>
    <cellStyle name="Normal 8 4 2 3 2 2 2" xfId="16979" xr:uid="{79365A85-D743-48A8-B409-F30A4D2D3640}"/>
    <cellStyle name="Normal 8 4 2 3 2 3" xfId="12758" xr:uid="{FB00C3E0-FDB9-4F91-8789-E1FD89272CA9}"/>
    <cellStyle name="Normal 8 4 2 3 3" xfId="5243" xr:uid="{00000000-0005-0000-0000-0000A2140000}"/>
    <cellStyle name="Normal 8 4 2 3 3 2" xfId="14834" xr:uid="{C60553B3-1592-45C3-885D-3404D2D20CE3}"/>
    <cellStyle name="Normal 8 4 2 3 4" xfId="9323" xr:uid="{00000000-0005-0000-0000-000092240000}"/>
    <cellStyle name="Normal 8 4 2 3 5" xfId="10525" xr:uid="{A4101186-98F9-4CE7-B152-EC3E98037CDE}"/>
    <cellStyle name="Normal 8 4 2 4" xfId="1349" xr:uid="{00000000-0005-0000-0000-00006C050000}"/>
    <cellStyle name="Normal 8 4 2 4 2" xfId="3579" xr:uid="{00000000-0005-0000-0000-0000220E0000}"/>
    <cellStyle name="Normal 8 4 2 4 2 2" xfId="7801" xr:uid="{00000000-0005-0000-0000-0000A01E0000}"/>
    <cellStyle name="Normal 8 4 2 4 2 2 2" xfId="17392" xr:uid="{5E0C5DC3-FC1F-49E2-BB16-20B6CBCDEFED}"/>
    <cellStyle name="Normal 8 4 2 4 2 3" xfId="13171" xr:uid="{E0A4D9ED-1A5A-426E-9385-6169701A99CA}"/>
    <cellStyle name="Normal 8 4 2 4 3" xfId="5656" xr:uid="{00000000-0005-0000-0000-00003F160000}"/>
    <cellStyle name="Normal 8 4 2 4 3 2" xfId="15247" xr:uid="{FB0FC5EB-CB96-4576-929A-9E3FBA455A3D}"/>
    <cellStyle name="Normal 8 4 2 4 4" xfId="10942" xr:uid="{65F8D4F9-8F26-49AD-BAD4-387784A6BC48}"/>
    <cellStyle name="Normal 8 4 2 5" xfId="1762" xr:uid="{00000000-0005-0000-0000-000009070000}"/>
    <cellStyle name="Normal 8 4 2 5 2" xfId="3992" xr:uid="{00000000-0005-0000-0000-0000BF0F0000}"/>
    <cellStyle name="Normal 8 4 2 5 2 2" xfId="8214" xr:uid="{00000000-0005-0000-0000-00003D200000}"/>
    <cellStyle name="Normal 8 4 2 5 2 2 2" xfId="17805" xr:uid="{0E3D395E-0037-436C-8032-36882781D28D}"/>
    <cellStyle name="Normal 8 4 2 5 2 3" xfId="13584" xr:uid="{2CD29BCA-6E2A-4497-B8EE-DF56CAF6691C}"/>
    <cellStyle name="Normal 8 4 2 5 3" xfId="6069" xr:uid="{00000000-0005-0000-0000-0000DC170000}"/>
    <cellStyle name="Normal 8 4 2 5 3 2" xfId="15660" xr:uid="{F83A4E2C-D750-47AB-A550-10CFC97D806F}"/>
    <cellStyle name="Normal 8 4 2 5 4" xfId="11355" xr:uid="{8564CF8D-A605-43C1-B282-C0FA459A89DD}"/>
    <cellStyle name="Normal 8 4 2 6" xfId="2176" xr:uid="{00000000-0005-0000-0000-0000A7080000}"/>
    <cellStyle name="Normal 8 4 2 6 2" xfId="4405" xr:uid="{00000000-0005-0000-0000-00005C110000}"/>
    <cellStyle name="Normal 8 4 2 6 2 2" xfId="8627" xr:uid="{00000000-0005-0000-0000-0000DA210000}"/>
    <cellStyle name="Normal 8 4 2 6 2 2 2" xfId="18218" xr:uid="{8C60153C-342E-42F5-8415-BAC42C14A825}"/>
    <cellStyle name="Normal 8 4 2 6 2 3" xfId="13997" xr:uid="{F6E945B6-7D25-4E49-8103-0FB4DC6F5847}"/>
    <cellStyle name="Normal 8 4 2 6 3" xfId="6482" xr:uid="{00000000-0005-0000-0000-000079190000}"/>
    <cellStyle name="Normal 8 4 2 6 3 2" xfId="16073" xr:uid="{63B83A7F-2BBB-4811-A038-0EA579B66493}"/>
    <cellStyle name="Normal 8 4 2 6 4" xfId="11768" xr:uid="{02A44DA3-B81F-4D10-85AE-B53CE08DF564}"/>
    <cellStyle name="Normal 8 4 2 7" xfId="2612" xr:uid="{00000000-0005-0000-0000-00005B0A0000}"/>
    <cellStyle name="Normal 8 4 2 7 2" xfId="6895" xr:uid="{00000000-0005-0000-0000-0000161B0000}"/>
    <cellStyle name="Normal 8 4 2 7 2 2" xfId="16486" xr:uid="{F392ECB8-9024-45E5-97B2-848D0527C14D}"/>
    <cellStyle name="Normal 8 4 2 7 3" xfId="12204" xr:uid="{7210DF23-04BE-40FB-B400-50C8F76644D1}"/>
    <cellStyle name="Normal 8 4 2 8" xfId="4830" xr:uid="{00000000-0005-0000-0000-000005130000}"/>
    <cellStyle name="Normal 8 4 2 8 2" xfId="14421" xr:uid="{EF816827-3189-4BA3-A9F7-3D5001B181CE}"/>
    <cellStyle name="Normal 8 4 2 9" xfId="8898" xr:uid="{00000000-0005-0000-0000-0000E9220000}"/>
    <cellStyle name="Normal 8 4 3" xfId="470" xr:uid="{00000000-0005-0000-0000-0000FA010000}"/>
    <cellStyle name="Normal 8 4 3 2" xfId="934" xr:uid="{00000000-0005-0000-0000-0000CD030000}"/>
    <cellStyle name="Normal 8 4 3 2 2" xfId="3168" xr:uid="{00000000-0005-0000-0000-0000870C0000}"/>
    <cellStyle name="Normal 8 4 3 2 2 2" xfId="7390" xr:uid="{00000000-0005-0000-0000-0000051D0000}"/>
    <cellStyle name="Normal 8 4 3 2 2 2 2" xfId="16981" xr:uid="{07B3B6B5-1499-44A6-8512-183BAFE2DD5E}"/>
    <cellStyle name="Normal 8 4 3 2 2 3" xfId="12760" xr:uid="{B69A4D4D-EED3-4832-9EF4-DF5D05F8B4DA}"/>
    <cellStyle name="Normal 8 4 3 2 3" xfId="5245" xr:uid="{00000000-0005-0000-0000-0000A4140000}"/>
    <cellStyle name="Normal 8 4 3 2 3 2" xfId="14836" xr:uid="{DD7D759F-723F-4C2C-B5DB-E74C13A90B3B}"/>
    <cellStyle name="Normal 8 4 3 2 4" xfId="9427" xr:uid="{00000000-0005-0000-0000-0000FA240000}"/>
    <cellStyle name="Normal 8 4 3 2 5" xfId="10527" xr:uid="{A6C90647-563B-4471-A798-49D2096FAECA}"/>
    <cellStyle name="Normal 8 4 3 3" xfId="1351" xr:uid="{00000000-0005-0000-0000-00006E050000}"/>
    <cellStyle name="Normal 8 4 3 3 2" xfId="3581" xr:uid="{00000000-0005-0000-0000-0000240E0000}"/>
    <cellStyle name="Normal 8 4 3 3 2 2" xfId="7803" xr:uid="{00000000-0005-0000-0000-0000A21E0000}"/>
    <cellStyle name="Normal 8 4 3 3 2 2 2" xfId="17394" xr:uid="{EDFBD7E6-0F39-4C9F-A5D1-DB42ECC9333A}"/>
    <cellStyle name="Normal 8 4 3 3 2 3" xfId="13173" xr:uid="{91CB36FB-9A6E-4BEF-83EC-A2F482AF8437}"/>
    <cellStyle name="Normal 8 4 3 3 3" xfId="5658" xr:uid="{00000000-0005-0000-0000-000041160000}"/>
    <cellStyle name="Normal 8 4 3 3 3 2" xfId="15249" xr:uid="{86287B99-6440-44D1-8097-AEA56B46132D}"/>
    <cellStyle name="Normal 8 4 3 3 4" xfId="10944" xr:uid="{5EB2F882-F287-4ED7-BBC4-9DA3F1A9F398}"/>
    <cellStyle name="Normal 8 4 3 4" xfId="1764" xr:uid="{00000000-0005-0000-0000-00000B070000}"/>
    <cellStyle name="Normal 8 4 3 4 2" xfId="3994" xr:uid="{00000000-0005-0000-0000-0000C10F0000}"/>
    <cellStyle name="Normal 8 4 3 4 2 2" xfId="8216" xr:uid="{00000000-0005-0000-0000-00003F200000}"/>
    <cellStyle name="Normal 8 4 3 4 2 2 2" xfId="17807" xr:uid="{7F55341E-E6DE-4038-8673-0285804A2CAD}"/>
    <cellStyle name="Normal 8 4 3 4 2 3" xfId="13586" xr:uid="{A849299C-FE89-47C8-9200-E88295CDAD35}"/>
    <cellStyle name="Normal 8 4 3 4 3" xfId="6071" xr:uid="{00000000-0005-0000-0000-0000DE170000}"/>
    <cellStyle name="Normal 8 4 3 4 3 2" xfId="15662" xr:uid="{BD97A87B-3B47-466B-A930-D0BC16867026}"/>
    <cellStyle name="Normal 8 4 3 4 4" xfId="11357" xr:uid="{7372BC10-8863-4B1C-9EFD-0E64A7543787}"/>
    <cellStyle name="Normal 8 4 3 5" xfId="2178" xr:uid="{00000000-0005-0000-0000-0000A9080000}"/>
    <cellStyle name="Normal 8 4 3 5 2" xfId="4407" xr:uid="{00000000-0005-0000-0000-00005E110000}"/>
    <cellStyle name="Normal 8 4 3 5 2 2" xfId="8629" xr:uid="{00000000-0005-0000-0000-0000DC210000}"/>
    <cellStyle name="Normal 8 4 3 5 2 2 2" xfId="18220" xr:uid="{226C584C-598A-4B77-A1C1-C32C48870859}"/>
    <cellStyle name="Normal 8 4 3 5 2 3" xfId="13999" xr:uid="{B13D16EF-B6B8-4BE7-846C-E3643376EF58}"/>
    <cellStyle name="Normal 8 4 3 5 3" xfId="6484" xr:uid="{00000000-0005-0000-0000-00007B190000}"/>
    <cellStyle name="Normal 8 4 3 5 3 2" xfId="16075" xr:uid="{6BDBCD29-4B8D-4030-BE42-B783AACC869E}"/>
    <cellStyle name="Normal 8 4 3 5 4" xfId="11770" xr:uid="{78687F1A-7A09-46C5-A5CE-97185B4AD880}"/>
    <cellStyle name="Normal 8 4 3 6" xfId="2614" xr:uid="{00000000-0005-0000-0000-00005D0A0000}"/>
    <cellStyle name="Normal 8 4 3 6 2" xfId="6897" xr:uid="{00000000-0005-0000-0000-0000181B0000}"/>
    <cellStyle name="Normal 8 4 3 6 2 2" xfId="16488" xr:uid="{FAFD69EC-C039-472D-BF69-71C99CB13783}"/>
    <cellStyle name="Normal 8 4 3 6 3" xfId="12206" xr:uid="{FBF2DF49-878A-460E-B667-6EF6F032D6F8}"/>
    <cellStyle name="Normal 8 4 3 7" xfId="4832" xr:uid="{00000000-0005-0000-0000-000007130000}"/>
    <cellStyle name="Normal 8 4 3 7 2" xfId="14423" xr:uid="{D8EC0C70-D074-43EA-8EAF-296470A7643F}"/>
    <cellStyle name="Normal 8 4 3 8" xfId="9002" xr:uid="{00000000-0005-0000-0000-000051230000}"/>
    <cellStyle name="Normal 8 4 3 9" xfId="10068" xr:uid="{861FE435-0D34-4A00-A4B9-A7B3742087DE}"/>
    <cellStyle name="Normal 8 4 4" xfId="931" xr:uid="{00000000-0005-0000-0000-0000CA030000}"/>
    <cellStyle name="Normal 8 4 4 2" xfId="3165" xr:uid="{00000000-0005-0000-0000-0000840C0000}"/>
    <cellStyle name="Normal 8 4 4 2 2" xfId="7387" xr:uid="{00000000-0005-0000-0000-0000021D0000}"/>
    <cellStyle name="Normal 8 4 4 2 2 2" xfId="16978" xr:uid="{EEDF8FA9-9066-498D-AB56-FDB9ADF90F39}"/>
    <cellStyle name="Normal 8 4 4 2 3" xfId="12757" xr:uid="{CF583508-DB4A-47FC-A822-C00946EC706C}"/>
    <cellStyle name="Normal 8 4 4 3" xfId="5242" xr:uid="{00000000-0005-0000-0000-0000A1140000}"/>
    <cellStyle name="Normal 8 4 4 3 2" xfId="14833" xr:uid="{3A94503E-35C8-4F72-B761-86ABC116DDEB}"/>
    <cellStyle name="Normal 8 4 4 4" xfId="9220" xr:uid="{00000000-0005-0000-0000-00002B240000}"/>
    <cellStyle name="Normal 8 4 4 5" xfId="10524" xr:uid="{7581D69A-DC20-4F67-8FE7-1ADB579EACAD}"/>
    <cellStyle name="Normal 8 4 5" xfId="1348" xr:uid="{00000000-0005-0000-0000-00006B050000}"/>
    <cellStyle name="Normal 8 4 5 2" xfId="3578" xr:uid="{00000000-0005-0000-0000-0000210E0000}"/>
    <cellStyle name="Normal 8 4 5 2 2" xfId="7800" xr:uid="{00000000-0005-0000-0000-00009F1E0000}"/>
    <cellStyle name="Normal 8 4 5 2 2 2" xfId="17391" xr:uid="{284AB3D6-9A42-40D8-890E-F333B112D6CC}"/>
    <cellStyle name="Normal 8 4 5 2 3" xfId="13170" xr:uid="{4B1D9A86-C1CD-4F59-BBA9-84D457189CDF}"/>
    <cellStyle name="Normal 8 4 5 3" xfId="5655" xr:uid="{00000000-0005-0000-0000-00003E160000}"/>
    <cellStyle name="Normal 8 4 5 3 2" xfId="15246" xr:uid="{9C98C344-42B9-45AF-BC09-8A2801C348B9}"/>
    <cellStyle name="Normal 8 4 5 4" xfId="10941" xr:uid="{C4CF501D-760C-4029-A6C2-7C57741619A5}"/>
    <cellStyle name="Normal 8 4 6" xfId="1761" xr:uid="{00000000-0005-0000-0000-000008070000}"/>
    <cellStyle name="Normal 8 4 6 2" xfId="3991" xr:uid="{00000000-0005-0000-0000-0000BE0F0000}"/>
    <cellStyle name="Normal 8 4 6 2 2" xfId="8213" xr:uid="{00000000-0005-0000-0000-00003C200000}"/>
    <cellStyle name="Normal 8 4 6 2 2 2" xfId="17804" xr:uid="{FF5AB6ED-C723-4E37-A8B8-BC2DD038F73C}"/>
    <cellStyle name="Normal 8 4 6 2 3" xfId="13583" xr:uid="{E1EB32F1-0E59-43BC-A66C-1C47F9179FA6}"/>
    <cellStyle name="Normal 8 4 6 3" xfId="6068" xr:uid="{00000000-0005-0000-0000-0000DB170000}"/>
    <cellStyle name="Normal 8 4 6 3 2" xfId="15659" xr:uid="{188CAC24-6BDE-4C57-AC15-2F271B995030}"/>
    <cellStyle name="Normal 8 4 6 4" xfId="11354" xr:uid="{D2181699-8824-4186-9C52-8CAB7EC64C2A}"/>
    <cellStyle name="Normal 8 4 7" xfId="2175" xr:uid="{00000000-0005-0000-0000-0000A6080000}"/>
    <cellStyle name="Normal 8 4 7 2" xfId="4404" xr:uid="{00000000-0005-0000-0000-00005B110000}"/>
    <cellStyle name="Normal 8 4 7 2 2" xfId="8626" xr:uid="{00000000-0005-0000-0000-0000D9210000}"/>
    <cellStyle name="Normal 8 4 7 2 2 2" xfId="18217" xr:uid="{0A2FBAB7-193E-41A8-B0D2-25A88CD82A08}"/>
    <cellStyle name="Normal 8 4 7 2 3" xfId="13996" xr:uid="{F8766214-6E1E-4D4D-9738-299E739B2FEB}"/>
    <cellStyle name="Normal 8 4 7 3" xfId="6481" xr:uid="{00000000-0005-0000-0000-000078190000}"/>
    <cellStyle name="Normal 8 4 7 3 2" xfId="16072" xr:uid="{174FBCC7-63C8-4B78-86AB-C1CB795F3048}"/>
    <cellStyle name="Normal 8 4 7 4" xfId="11767" xr:uid="{380D933C-F548-420A-A538-3701C4811926}"/>
    <cellStyle name="Normal 8 4 8" xfId="2611" xr:uid="{00000000-0005-0000-0000-00005A0A0000}"/>
    <cellStyle name="Normal 8 4 8 2" xfId="6894" xr:uid="{00000000-0005-0000-0000-0000151B0000}"/>
    <cellStyle name="Normal 8 4 8 2 2" xfId="16485" xr:uid="{0C3B1B9D-3E1F-4824-BDA9-2851BB66E17F}"/>
    <cellStyle name="Normal 8 4 8 3" xfId="12203" xr:uid="{4696CEC3-65B2-4785-BF50-45CD8A4165C0}"/>
    <cellStyle name="Normal 8 4 9" xfId="4829" xr:uid="{00000000-0005-0000-0000-000004130000}"/>
    <cellStyle name="Normal 8 4 9 2" xfId="14420" xr:uid="{08DAFC49-A809-4349-B9CE-F743378ECAA4}"/>
    <cellStyle name="Normal 8 5" xfId="471" xr:uid="{00000000-0005-0000-0000-0000FB010000}"/>
    <cellStyle name="Normal 8 5 10" xfId="10069" xr:uid="{01DC3F2C-2704-47E2-B3DE-F863699549D7}"/>
    <cellStyle name="Normal 8 5 2" xfId="472" xr:uid="{00000000-0005-0000-0000-0000FC010000}"/>
    <cellStyle name="Normal 8 5 2 2" xfId="936" xr:uid="{00000000-0005-0000-0000-0000CF030000}"/>
    <cellStyle name="Normal 8 5 2 2 2" xfId="3170" xr:uid="{00000000-0005-0000-0000-0000890C0000}"/>
    <cellStyle name="Normal 8 5 2 2 2 2" xfId="7392" xr:uid="{00000000-0005-0000-0000-0000071D0000}"/>
    <cellStyle name="Normal 8 5 2 2 2 2 2" xfId="16983" xr:uid="{CCE829D9-8D45-4CF3-93A5-49C2C4E918DC}"/>
    <cellStyle name="Normal 8 5 2 2 2 3" xfId="12762" xr:uid="{3AB38E63-2E59-482C-8545-23FC979B8C83}"/>
    <cellStyle name="Normal 8 5 2 2 3" xfId="5247" xr:uid="{00000000-0005-0000-0000-0000A6140000}"/>
    <cellStyle name="Normal 8 5 2 2 3 2" xfId="14838" xr:uid="{A73210C6-BDB6-4D94-A073-7109706ABD28}"/>
    <cellStyle name="Normal 8 5 2 2 4" xfId="9438" xr:uid="{00000000-0005-0000-0000-000005250000}"/>
    <cellStyle name="Normal 8 5 2 2 5" xfId="10529" xr:uid="{BA74BC75-3700-474A-ABC9-E100EDFFF54F}"/>
    <cellStyle name="Normal 8 5 2 3" xfId="1353" xr:uid="{00000000-0005-0000-0000-000070050000}"/>
    <cellStyle name="Normal 8 5 2 3 2" xfId="3583" xr:uid="{00000000-0005-0000-0000-0000260E0000}"/>
    <cellStyle name="Normal 8 5 2 3 2 2" xfId="7805" xr:uid="{00000000-0005-0000-0000-0000A41E0000}"/>
    <cellStyle name="Normal 8 5 2 3 2 2 2" xfId="17396" xr:uid="{FDAE083A-740A-46CF-B79F-37C057AA22ED}"/>
    <cellStyle name="Normal 8 5 2 3 2 3" xfId="13175" xr:uid="{120AAE13-9281-4E53-A4F0-45B3E3CD529E}"/>
    <cellStyle name="Normal 8 5 2 3 3" xfId="5660" xr:uid="{00000000-0005-0000-0000-000043160000}"/>
    <cellStyle name="Normal 8 5 2 3 3 2" xfId="15251" xr:uid="{53810244-6468-403C-8723-158633576C3C}"/>
    <cellStyle name="Normal 8 5 2 3 4" xfId="10946" xr:uid="{F65B7E97-3668-46BD-A4AC-FD530699BADA}"/>
    <cellStyle name="Normal 8 5 2 4" xfId="1766" xr:uid="{00000000-0005-0000-0000-00000D070000}"/>
    <cellStyle name="Normal 8 5 2 4 2" xfId="3996" xr:uid="{00000000-0005-0000-0000-0000C30F0000}"/>
    <cellStyle name="Normal 8 5 2 4 2 2" xfId="8218" xr:uid="{00000000-0005-0000-0000-000041200000}"/>
    <cellStyle name="Normal 8 5 2 4 2 2 2" xfId="17809" xr:uid="{F3244031-56E7-4E6E-A283-A327C9A2CF0F}"/>
    <cellStyle name="Normal 8 5 2 4 2 3" xfId="13588" xr:uid="{5676631F-7414-4663-8130-B05227581F2F}"/>
    <cellStyle name="Normal 8 5 2 4 3" xfId="6073" xr:uid="{00000000-0005-0000-0000-0000E0170000}"/>
    <cellStyle name="Normal 8 5 2 4 3 2" xfId="15664" xr:uid="{B5341FAC-28D4-4E65-A681-4A06BB72674B}"/>
    <cellStyle name="Normal 8 5 2 4 4" xfId="11359" xr:uid="{3DFDC521-35D1-469D-BC48-71AB7BF36F6E}"/>
    <cellStyle name="Normal 8 5 2 5" xfId="2180" xr:uid="{00000000-0005-0000-0000-0000AB080000}"/>
    <cellStyle name="Normal 8 5 2 5 2" xfId="4409" xr:uid="{00000000-0005-0000-0000-000060110000}"/>
    <cellStyle name="Normal 8 5 2 5 2 2" xfId="8631" xr:uid="{00000000-0005-0000-0000-0000DE210000}"/>
    <cellStyle name="Normal 8 5 2 5 2 2 2" xfId="18222" xr:uid="{62E1B947-E950-49BD-8F55-349AF69A6355}"/>
    <cellStyle name="Normal 8 5 2 5 2 3" xfId="14001" xr:uid="{5B85BE63-A292-46B4-8896-A7D402A0AAB0}"/>
    <cellStyle name="Normal 8 5 2 5 3" xfId="6486" xr:uid="{00000000-0005-0000-0000-00007D190000}"/>
    <cellStyle name="Normal 8 5 2 5 3 2" xfId="16077" xr:uid="{761EF45D-69D2-4573-847F-5335E569989B}"/>
    <cellStyle name="Normal 8 5 2 5 4" xfId="11772" xr:uid="{A99EA590-0AF9-4AFB-A223-76B4D2D53155}"/>
    <cellStyle name="Normal 8 5 2 6" xfId="2616" xr:uid="{00000000-0005-0000-0000-00005F0A0000}"/>
    <cellStyle name="Normal 8 5 2 6 2" xfId="6899" xr:uid="{00000000-0005-0000-0000-00001A1B0000}"/>
    <cellStyle name="Normal 8 5 2 6 2 2" xfId="16490" xr:uid="{E7AD9748-487B-42A0-B1B8-258ACC842D77}"/>
    <cellStyle name="Normal 8 5 2 6 3" xfId="12208" xr:uid="{AB7E9E43-1074-404E-91D0-9B155A694C63}"/>
    <cellStyle name="Normal 8 5 2 7" xfId="4834" xr:uid="{00000000-0005-0000-0000-000009130000}"/>
    <cellStyle name="Normal 8 5 2 7 2" xfId="14425" xr:uid="{1DD67246-E323-4C24-9BB1-8590DD884D0B}"/>
    <cellStyle name="Normal 8 5 2 8" xfId="9013" xr:uid="{00000000-0005-0000-0000-00005C230000}"/>
    <cellStyle name="Normal 8 5 2 9" xfId="10070" xr:uid="{E78E0B96-3621-44B4-8FC8-241ECC2BCF91}"/>
    <cellStyle name="Normal 8 5 3" xfId="935" xr:uid="{00000000-0005-0000-0000-0000CE030000}"/>
    <cellStyle name="Normal 8 5 3 2" xfId="3169" xr:uid="{00000000-0005-0000-0000-0000880C0000}"/>
    <cellStyle name="Normal 8 5 3 2 2" xfId="7391" xr:uid="{00000000-0005-0000-0000-0000061D0000}"/>
    <cellStyle name="Normal 8 5 3 2 2 2" xfId="16982" xr:uid="{60A6D964-6899-4E42-9BB2-D3DE8FD89A7E}"/>
    <cellStyle name="Normal 8 5 3 2 3" xfId="12761" xr:uid="{A5A4A851-71DD-444F-B7A7-B66C4DEAEA79}"/>
    <cellStyle name="Normal 8 5 3 3" xfId="5246" xr:uid="{00000000-0005-0000-0000-0000A5140000}"/>
    <cellStyle name="Normal 8 5 3 3 2" xfId="14837" xr:uid="{E8C5713D-BC2D-41B3-83A7-44037AF843C1}"/>
    <cellStyle name="Normal 8 5 3 4" xfId="9231" xr:uid="{00000000-0005-0000-0000-000036240000}"/>
    <cellStyle name="Normal 8 5 3 5" xfId="10528" xr:uid="{E3BC8B47-1E77-425F-90EB-DA95474DB73B}"/>
    <cellStyle name="Normal 8 5 4" xfId="1352" xr:uid="{00000000-0005-0000-0000-00006F050000}"/>
    <cellStyle name="Normal 8 5 4 2" xfId="3582" xr:uid="{00000000-0005-0000-0000-0000250E0000}"/>
    <cellStyle name="Normal 8 5 4 2 2" xfId="7804" xr:uid="{00000000-0005-0000-0000-0000A31E0000}"/>
    <cellStyle name="Normal 8 5 4 2 2 2" xfId="17395" xr:uid="{5DE64EAD-B677-4444-8381-BAB4EAADA899}"/>
    <cellStyle name="Normal 8 5 4 2 3" xfId="13174" xr:uid="{91F161F5-E225-4375-A655-6F22917C2B36}"/>
    <cellStyle name="Normal 8 5 4 3" xfId="5659" xr:uid="{00000000-0005-0000-0000-000042160000}"/>
    <cellStyle name="Normal 8 5 4 3 2" xfId="15250" xr:uid="{D2EB7D1F-FF14-4A22-9C3E-C9EF5624E502}"/>
    <cellStyle name="Normal 8 5 4 4" xfId="10945" xr:uid="{A1DC796F-0316-48D2-BC81-1ECD81753785}"/>
    <cellStyle name="Normal 8 5 5" xfId="1765" xr:uid="{00000000-0005-0000-0000-00000C070000}"/>
    <cellStyle name="Normal 8 5 5 2" xfId="3995" xr:uid="{00000000-0005-0000-0000-0000C20F0000}"/>
    <cellStyle name="Normal 8 5 5 2 2" xfId="8217" xr:uid="{00000000-0005-0000-0000-000040200000}"/>
    <cellStyle name="Normal 8 5 5 2 2 2" xfId="17808" xr:uid="{3075E2E4-53D6-43FE-9A83-BBA7901F8F18}"/>
    <cellStyle name="Normal 8 5 5 2 3" xfId="13587" xr:uid="{39A4F9B3-1FD8-491A-866A-0EAF2BA7DE42}"/>
    <cellStyle name="Normal 8 5 5 3" xfId="6072" xr:uid="{00000000-0005-0000-0000-0000DF170000}"/>
    <cellStyle name="Normal 8 5 5 3 2" xfId="15663" xr:uid="{46A9A18E-6702-4D39-9F86-DD4B478521F6}"/>
    <cellStyle name="Normal 8 5 5 4" xfId="11358" xr:uid="{2B4A54D2-7EBA-4358-B116-F8BF26963C1D}"/>
    <cellStyle name="Normal 8 5 6" xfId="2179" xr:uid="{00000000-0005-0000-0000-0000AA080000}"/>
    <cellStyle name="Normal 8 5 6 2" xfId="4408" xr:uid="{00000000-0005-0000-0000-00005F110000}"/>
    <cellStyle name="Normal 8 5 6 2 2" xfId="8630" xr:uid="{00000000-0005-0000-0000-0000DD210000}"/>
    <cellStyle name="Normal 8 5 6 2 2 2" xfId="18221" xr:uid="{6F16FD6E-0692-4140-9FA1-5030942B3770}"/>
    <cellStyle name="Normal 8 5 6 2 3" xfId="14000" xr:uid="{5DAD5013-66CD-40A0-B740-7803FE0D21C3}"/>
    <cellStyle name="Normal 8 5 6 3" xfId="6485" xr:uid="{00000000-0005-0000-0000-00007C190000}"/>
    <cellStyle name="Normal 8 5 6 3 2" xfId="16076" xr:uid="{8932DEB3-3467-49B3-A752-93B1BCA4941B}"/>
    <cellStyle name="Normal 8 5 6 4" xfId="11771" xr:uid="{7FA44B83-AEE9-4C64-A946-1F4095F14314}"/>
    <cellStyle name="Normal 8 5 7" xfId="2615" xr:uid="{00000000-0005-0000-0000-00005E0A0000}"/>
    <cellStyle name="Normal 8 5 7 2" xfId="6898" xr:uid="{00000000-0005-0000-0000-0000191B0000}"/>
    <cellStyle name="Normal 8 5 7 2 2" xfId="16489" xr:uid="{2168778C-713E-4633-8968-A32FA35A08DF}"/>
    <cellStyle name="Normal 8 5 7 3" xfId="12207" xr:uid="{B34A9C54-D1F1-4EC1-8A44-556520D65A02}"/>
    <cellStyle name="Normal 8 5 8" xfId="4833" xr:uid="{00000000-0005-0000-0000-000008130000}"/>
    <cellStyle name="Normal 8 5 8 2" xfId="14424" xr:uid="{8D624326-616F-4869-B65E-DAE943069E01}"/>
    <cellStyle name="Normal 8 5 9" xfId="8806" xr:uid="{00000000-0005-0000-0000-00008D220000}"/>
    <cellStyle name="Normal 8 6" xfId="473" xr:uid="{00000000-0005-0000-0000-0000FD010000}"/>
    <cellStyle name="Normal 8 6 2" xfId="937" xr:uid="{00000000-0005-0000-0000-0000D0030000}"/>
    <cellStyle name="Normal 8 6 2 2" xfId="3171" xr:uid="{00000000-0005-0000-0000-00008A0C0000}"/>
    <cellStyle name="Normal 8 6 2 2 2" xfId="7393" xr:uid="{00000000-0005-0000-0000-0000081D0000}"/>
    <cellStyle name="Normal 8 6 2 2 2 2" xfId="16984" xr:uid="{B10AF07E-A829-4489-9F24-1A4627974FD4}"/>
    <cellStyle name="Normal 8 6 2 2 3" xfId="12763" xr:uid="{052E13F1-7F13-40B0-8B5C-4264A3829412}"/>
    <cellStyle name="Normal 8 6 2 3" xfId="5248" xr:uid="{00000000-0005-0000-0000-0000A7140000}"/>
    <cellStyle name="Normal 8 6 2 3 2" xfId="14839" xr:uid="{28CFDE54-F122-47E1-A421-B18AB992C9A4}"/>
    <cellStyle name="Normal 8 6 2 4" xfId="9347" xr:uid="{00000000-0005-0000-0000-0000AA240000}"/>
    <cellStyle name="Normal 8 6 2 5" xfId="10530" xr:uid="{10F9D3E8-4EB7-4205-86E2-B60AA1FE1980}"/>
    <cellStyle name="Normal 8 6 3" xfId="1354" xr:uid="{00000000-0005-0000-0000-000071050000}"/>
    <cellStyle name="Normal 8 6 3 2" xfId="3584" xr:uid="{00000000-0005-0000-0000-0000270E0000}"/>
    <cellStyle name="Normal 8 6 3 2 2" xfId="7806" xr:uid="{00000000-0005-0000-0000-0000A51E0000}"/>
    <cellStyle name="Normal 8 6 3 2 2 2" xfId="17397" xr:uid="{AE4ACB82-7B3F-4307-9871-C28AA2E5DDAD}"/>
    <cellStyle name="Normal 8 6 3 2 3" xfId="13176" xr:uid="{A2B5311D-2905-432F-A672-CEB06EE69761}"/>
    <cellStyle name="Normal 8 6 3 3" xfId="5661" xr:uid="{00000000-0005-0000-0000-000044160000}"/>
    <cellStyle name="Normal 8 6 3 3 2" xfId="15252" xr:uid="{F810A2B9-3233-457A-BE7A-7DD9B062733E}"/>
    <cellStyle name="Normal 8 6 3 4" xfId="10947" xr:uid="{4DFD51BF-33A6-491D-9474-FB13FAD6E88C}"/>
    <cellStyle name="Normal 8 6 4" xfId="1767" xr:uid="{00000000-0005-0000-0000-00000E070000}"/>
    <cellStyle name="Normal 8 6 4 2" xfId="3997" xr:uid="{00000000-0005-0000-0000-0000C40F0000}"/>
    <cellStyle name="Normal 8 6 4 2 2" xfId="8219" xr:uid="{00000000-0005-0000-0000-000042200000}"/>
    <cellStyle name="Normal 8 6 4 2 2 2" xfId="17810" xr:uid="{04090C1B-C17C-4C2E-AC9B-5B310AE70CB6}"/>
    <cellStyle name="Normal 8 6 4 2 3" xfId="13589" xr:uid="{BF888C76-B6A2-4DBA-81B8-56F2C9827F51}"/>
    <cellStyle name="Normal 8 6 4 3" xfId="6074" xr:uid="{00000000-0005-0000-0000-0000E1170000}"/>
    <cellStyle name="Normal 8 6 4 3 2" xfId="15665" xr:uid="{9A555457-EC5E-4F20-B8C2-7C6B6EE9B492}"/>
    <cellStyle name="Normal 8 6 4 4" xfId="11360" xr:uid="{B941C08D-DB09-4BCC-B66B-E26D108B1586}"/>
    <cellStyle name="Normal 8 6 5" xfId="2181" xr:uid="{00000000-0005-0000-0000-0000AC080000}"/>
    <cellStyle name="Normal 8 6 5 2" xfId="4410" xr:uid="{00000000-0005-0000-0000-000061110000}"/>
    <cellStyle name="Normal 8 6 5 2 2" xfId="8632" xr:uid="{00000000-0005-0000-0000-0000DF210000}"/>
    <cellStyle name="Normal 8 6 5 2 2 2" xfId="18223" xr:uid="{4736C1F8-CD43-48D6-A564-EB5013D0C16F}"/>
    <cellStyle name="Normal 8 6 5 2 3" xfId="14002" xr:uid="{0033182B-9EF3-4513-B238-BAC93CD668C6}"/>
    <cellStyle name="Normal 8 6 5 3" xfId="6487" xr:uid="{00000000-0005-0000-0000-00007E190000}"/>
    <cellStyle name="Normal 8 6 5 3 2" xfId="16078" xr:uid="{6EBCF118-737C-4C34-BB35-B21457F4B42A}"/>
    <cellStyle name="Normal 8 6 5 4" xfId="11773" xr:uid="{F547A340-C415-4BDC-A0E8-8069F64C428F}"/>
    <cellStyle name="Normal 8 6 6" xfId="2617" xr:uid="{00000000-0005-0000-0000-0000600A0000}"/>
    <cellStyle name="Normal 8 6 6 2" xfId="6900" xr:uid="{00000000-0005-0000-0000-00001B1B0000}"/>
    <cellStyle name="Normal 8 6 6 2 2" xfId="16491" xr:uid="{8A072023-62B4-44DA-A488-625AD9EE7634}"/>
    <cellStyle name="Normal 8 6 6 3" xfId="12209" xr:uid="{4CE0E1D7-32CF-4ADD-A33D-52ADB98AD37B}"/>
    <cellStyle name="Normal 8 6 7" xfId="4835" xr:uid="{00000000-0005-0000-0000-00000A130000}"/>
    <cellStyle name="Normal 8 6 7 2" xfId="14426" xr:uid="{F97A26ED-67C5-495D-AF5C-656C73E3C4ED}"/>
    <cellStyle name="Normal 8 6 8" xfId="8922" xr:uid="{00000000-0005-0000-0000-000001230000}"/>
    <cellStyle name="Normal 8 6 9" xfId="10071" xr:uid="{C413F60E-32EB-4BC2-9F1F-8851D6EAD8C3}"/>
    <cellStyle name="Normal 8 7" xfId="906" xr:uid="{00000000-0005-0000-0000-0000B1030000}"/>
    <cellStyle name="Normal 8 7 2" xfId="3140" xr:uid="{00000000-0005-0000-0000-00006B0C0000}"/>
    <cellStyle name="Normal 8 7 2 2" xfId="7362" xr:uid="{00000000-0005-0000-0000-0000E91C0000}"/>
    <cellStyle name="Normal 8 7 2 2 2" xfId="16953" xr:uid="{A9E14DFE-04F6-409B-879B-493CB72D0D89}"/>
    <cellStyle name="Normal 8 7 2 3" xfId="12732" xr:uid="{7B4ED52F-4D7C-417A-A9CA-3C4315756D83}"/>
    <cellStyle name="Normal 8 7 3" xfId="5217" xr:uid="{00000000-0005-0000-0000-000088140000}"/>
    <cellStyle name="Normal 8 7 3 2" xfId="14808" xr:uid="{25EF1180-F01C-4DD2-A7E3-0F79938E25DF}"/>
    <cellStyle name="Normal 8 7 4" xfId="9125" xr:uid="{00000000-0005-0000-0000-0000CC230000}"/>
    <cellStyle name="Normal 8 7 5" xfId="10499" xr:uid="{648B3258-C7A6-412F-8BAC-18FD88E01579}"/>
    <cellStyle name="Normal 8 8" xfId="1323" xr:uid="{00000000-0005-0000-0000-000052050000}"/>
    <cellStyle name="Normal 8 8 2" xfId="3553" xr:uid="{00000000-0005-0000-0000-0000080E0000}"/>
    <cellStyle name="Normal 8 8 2 2" xfId="7775" xr:uid="{00000000-0005-0000-0000-0000861E0000}"/>
    <cellStyle name="Normal 8 8 2 2 2" xfId="17366" xr:uid="{B6FC575E-6C27-415B-8D4A-798CD43F35E9}"/>
    <cellStyle name="Normal 8 8 2 3" xfId="13145" xr:uid="{B8181B4A-425E-4E72-9220-702135843599}"/>
    <cellStyle name="Normal 8 8 3" xfId="5630" xr:uid="{00000000-0005-0000-0000-000025160000}"/>
    <cellStyle name="Normal 8 8 3 2" xfId="15221" xr:uid="{E243FFBF-A6D5-491F-B097-84FCBE3910C7}"/>
    <cellStyle name="Normal 8 8 4" xfId="10916" xr:uid="{69B89120-6713-4E96-BFED-9B5A37E08ED7}"/>
    <cellStyle name="Normal 8 9" xfId="1736" xr:uid="{00000000-0005-0000-0000-0000EF060000}"/>
    <cellStyle name="Normal 8 9 2" xfId="3966" xr:uid="{00000000-0005-0000-0000-0000A50F0000}"/>
    <cellStyle name="Normal 8 9 2 2" xfId="8188" xr:uid="{00000000-0005-0000-0000-000023200000}"/>
    <cellStyle name="Normal 8 9 2 2 2" xfId="17779" xr:uid="{CC4DE4B4-2DB1-4B50-B6F7-6CEB239D7213}"/>
    <cellStyle name="Normal 8 9 2 3" xfId="13558" xr:uid="{C0BAB570-4D3D-4064-A8E4-D3F9FF917CE2}"/>
    <cellStyle name="Normal 8 9 3" xfId="6043" xr:uid="{00000000-0005-0000-0000-0000C2170000}"/>
    <cellStyle name="Normal 8 9 3 2" xfId="15634" xr:uid="{B9D5BEA5-521E-4AA0-BA54-17EDD229773B}"/>
    <cellStyle name="Normal 8 9 4" xfId="11329" xr:uid="{3656305A-5D1C-4500-BBD1-BB091009D6C3}"/>
    <cellStyle name="Normal 9" xfId="474" xr:uid="{00000000-0005-0000-0000-0000FE010000}"/>
    <cellStyle name="Normal 9 2" xfId="475" xr:uid="{00000000-0005-0000-0000-0000FF010000}"/>
    <cellStyle name="Normal 9 2 10" xfId="2618" xr:uid="{00000000-0005-0000-0000-0000610A0000}"/>
    <cellStyle name="Normal 9 2 10 2" xfId="6901" xr:uid="{00000000-0005-0000-0000-00001C1B0000}"/>
    <cellStyle name="Normal 9 2 10 2 2" xfId="16492" xr:uid="{A9598E0F-2F63-4D49-BDEA-14690003BF86}"/>
    <cellStyle name="Normal 9 2 10 3" xfId="12210" xr:uid="{474689EF-C26A-4CD1-A633-B2B6F5A44796}"/>
    <cellStyle name="Normal 9 2 11" xfId="4836" xr:uid="{00000000-0005-0000-0000-00000B130000}"/>
    <cellStyle name="Normal 9 2 11 2" xfId="14427" xr:uid="{0A333CAD-6D4F-457D-84BC-2C973D140ED9}"/>
    <cellStyle name="Normal 9 2 12" xfId="8715" xr:uid="{00000000-0005-0000-0000-000032220000}"/>
    <cellStyle name="Normal 9 2 13" xfId="10073" xr:uid="{B7B2649A-2214-4FD9-96D7-896D465A7398}"/>
    <cellStyle name="Normal 9 2 2" xfId="476" xr:uid="{00000000-0005-0000-0000-000000020000}"/>
    <cellStyle name="Normal 9 2 2 10" xfId="4837" xr:uid="{00000000-0005-0000-0000-00000C130000}"/>
    <cellStyle name="Normal 9 2 2 10 2" xfId="14428" xr:uid="{B3F1AD6F-BBB3-4976-9BF7-412B4ACDB935}"/>
    <cellStyle name="Normal 9 2 2 11" xfId="8746" xr:uid="{00000000-0005-0000-0000-000051220000}"/>
    <cellStyle name="Normal 9 2 2 12" xfId="10074" xr:uid="{268329F7-D621-4BD3-A36B-CF080A7A7EA6}"/>
    <cellStyle name="Normal 9 2 2 2" xfId="477" xr:uid="{00000000-0005-0000-0000-000001020000}"/>
    <cellStyle name="Normal 9 2 2 2 10" xfId="8800" xr:uid="{00000000-0005-0000-0000-000087220000}"/>
    <cellStyle name="Normal 9 2 2 2 11" xfId="10075" xr:uid="{D1A0810B-6E03-4069-8F8C-0AFC1C3FC084}"/>
    <cellStyle name="Normal 9 2 2 2 2" xfId="478" xr:uid="{00000000-0005-0000-0000-000002020000}"/>
    <cellStyle name="Normal 9 2 2 2 2 10" xfId="10076" xr:uid="{45322E97-B32B-4589-B89F-06D1A6CCEFC1}"/>
    <cellStyle name="Normal 9 2 2 2 2 2" xfId="479" xr:uid="{00000000-0005-0000-0000-000003020000}"/>
    <cellStyle name="Normal 9 2 2 2 2 2 2" xfId="943" xr:uid="{00000000-0005-0000-0000-0000D6030000}"/>
    <cellStyle name="Normal 9 2 2 2 2 2 2 2" xfId="3176" xr:uid="{00000000-0005-0000-0000-00008F0C0000}"/>
    <cellStyle name="Normal 9 2 2 2 2 2 2 2 2" xfId="7398" xr:uid="{00000000-0005-0000-0000-00000D1D0000}"/>
    <cellStyle name="Normal 9 2 2 2 2 2 2 2 2 2" xfId="16989" xr:uid="{D183F8FD-3C58-4F29-9C9B-89D4B84ADD49}"/>
    <cellStyle name="Normal 9 2 2 2 2 2 2 2 3" xfId="12768" xr:uid="{5613D880-8EC8-425A-8F92-DC2A1E610BFD}"/>
    <cellStyle name="Normal 9 2 2 2 2 2 2 3" xfId="5253" xr:uid="{00000000-0005-0000-0000-0000AC140000}"/>
    <cellStyle name="Normal 9 2 2 2 2 2 2 3 2" xfId="14844" xr:uid="{B70E8C56-B0C9-4A87-A301-63DB9EABE839}"/>
    <cellStyle name="Normal 9 2 2 2 2 2 2 4" xfId="9535" xr:uid="{00000000-0005-0000-0000-000066250000}"/>
    <cellStyle name="Normal 9 2 2 2 2 2 2 5" xfId="10536" xr:uid="{D7095B56-8AD0-4582-9D69-D1B3FEADEB8D}"/>
    <cellStyle name="Normal 9 2 2 2 2 2 3" xfId="1359" xr:uid="{00000000-0005-0000-0000-000076050000}"/>
    <cellStyle name="Normal 9 2 2 2 2 2 3 2" xfId="3589" xr:uid="{00000000-0005-0000-0000-00002C0E0000}"/>
    <cellStyle name="Normal 9 2 2 2 2 2 3 2 2" xfId="7811" xr:uid="{00000000-0005-0000-0000-0000AA1E0000}"/>
    <cellStyle name="Normal 9 2 2 2 2 2 3 2 2 2" xfId="17402" xr:uid="{83E18A77-AE86-4F19-83E5-CAB59C05316C}"/>
    <cellStyle name="Normal 9 2 2 2 2 2 3 2 3" xfId="13181" xr:uid="{D555D821-335A-4D0B-9469-B378955F6B8F}"/>
    <cellStyle name="Normal 9 2 2 2 2 2 3 3" xfId="5666" xr:uid="{00000000-0005-0000-0000-000049160000}"/>
    <cellStyle name="Normal 9 2 2 2 2 2 3 3 2" xfId="15257" xr:uid="{25A7BAD0-10DE-4AED-A8D4-A30F50F0C16D}"/>
    <cellStyle name="Normal 9 2 2 2 2 2 3 4" xfId="10952" xr:uid="{D5E51A65-0A50-4111-AA70-B02970AE5FBA}"/>
    <cellStyle name="Normal 9 2 2 2 2 2 4" xfId="1772" xr:uid="{00000000-0005-0000-0000-000013070000}"/>
    <cellStyle name="Normal 9 2 2 2 2 2 4 2" xfId="4002" xr:uid="{00000000-0005-0000-0000-0000C90F0000}"/>
    <cellStyle name="Normal 9 2 2 2 2 2 4 2 2" xfId="8224" xr:uid="{00000000-0005-0000-0000-000047200000}"/>
    <cellStyle name="Normal 9 2 2 2 2 2 4 2 2 2" xfId="17815" xr:uid="{01A86937-4FE1-4D81-A7B3-568DBFA8A7AC}"/>
    <cellStyle name="Normal 9 2 2 2 2 2 4 2 3" xfId="13594" xr:uid="{D7EA3342-EB45-4402-9863-5C94C06A807E}"/>
    <cellStyle name="Normal 9 2 2 2 2 2 4 3" xfId="6079" xr:uid="{00000000-0005-0000-0000-0000E6170000}"/>
    <cellStyle name="Normal 9 2 2 2 2 2 4 3 2" xfId="15670" xr:uid="{DA08B269-897D-4168-925D-0D0970AC3D8F}"/>
    <cellStyle name="Normal 9 2 2 2 2 2 4 4" xfId="11365" xr:uid="{E7E73E71-6786-41CD-9F34-8365454F1C37}"/>
    <cellStyle name="Normal 9 2 2 2 2 2 5" xfId="2186" xr:uid="{00000000-0005-0000-0000-0000B1080000}"/>
    <cellStyle name="Normal 9 2 2 2 2 2 5 2" xfId="4415" xr:uid="{00000000-0005-0000-0000-000066110000}"/>
    <cellStyle name="Normal 9 2 2 2 2 2 5 2 2" xfId="8637" xr:uid="{00000000-0005-0000-0000-0000E4210000}"/>
    <cellStyle name="Normal 9 2 2 2 2 2 5 2 2 2" xfId="18228" xr:uid="{9D74870A-21EF-4AFD-8F53-437A91A1986F}"/>
    <cellStyle name="Normal 9 2 2 2 2 2 5 2 3" xfId="14007" xr:uid="{0CAA557C-CD05-4076-9BE3-C33384EB3BA1}"/>
    <cellStyle name="Normal 9 2 2 2 2 2 5 3" xfId="6492" xr:uid="{00000000-0005-0000-0000-000083190000}"/>
    <cellStyle name="Normal 9 2 2 2 2 2 5 3 2" xfId="16083" xr:uid="{F39CC4BB-DB3F-409B-9C90-2D678AA4B244}"/>
    <cellStyle name="Normal 9 2 2 2 2 2 5 4" xfId="11778" xr:uid="{434D1915-946E-4D7A-B800-CCAE92061610}"/>
    <cellStyle name="Normal 9 2 2 2 2 2 6" xfId="2622" xr:uid="{00000000-0005-0000-0000-0000650A0000}"/>
    <cellStyle name="Normal 9 2 2 2 2 2 6 2" xfId="6905" xr:uid="{00000000-0005-0000-0000-0000201B0000}"/>
    <cellStyle name="Normal 9 2 2 2 2 2 6 2 2" xfId="16496" xr:uid="{E046A0FC-9A0D-4CE4-BA52-D2A6B250B5C3}"/>
    <cellStyle name="Normal 9 2 2 2 2 2 6 3" xfId="12214" xr:uid="{84403375-71BC-457E-8990-4FA810FB5181}"/>
    <cellStyle name="Normal 9 2 2 2 2 2 7" xfId="4840" xr:uid="{00000000-0005-0000-0000-00000F130000}"/>
    <cellStyle name="Normal 9 2 2 2 2 2 7 2" xfId="14431" xr:uid="{851F09A7-46CF-4CD3-BC2F-4A53F0EDF19F}"/>
    <cellStyle name="Normal 9 2 2 2 2 2 8" xfId="9110" xr:uid="{00000000-0005-0000-0000-0000BD230000}"/>
    <cellStyle name="Normal 9 2 2 2 2 2 9" xfId="10077" xr:uid="{221945B0-5143-46F8-A720-57814CAAC3EF}"/>
    <cellStyle name="Normal 9 2 2 2 2 3" xfId="942" xr:uid="{00000000-0005-0000-0000-0000D5030000}"/>
    <cellStyle name="Normal 9 2 2 2 2 3 2" xfId="3175" xr:uid="{00000000-0005-0000-0000-00008E0C0000}"/>
    <cellStyle name="Normal 9 2 2 2 2 3 2 2" xfId="7397" xr:uid="{00000000-0005-0000-0000-00000C1D0000}"/>
    <cellStyle name="Normal 9 2 2 2 2 3 2 2 2" xfId="16988" xr:uid="{F6FD1DBE-F0DF-4387-BB9C-0E5CB562C9EB}"/>
    <cellStyle name="Normal 9 2 2 2 2 3 2 3" xfId="12767" xr:uid="{C51B43A2-9501-47BB-9047-8797BD7A8D26}"/>
    <cellStyle name="Normal 9 2 2 2 2 3 3" xfId="5252" xr:uid="{00000000-0005-0000-0000-0000AB140000}"/>
    <cellStyle name="Normal 9 2 2 2 2 3 3 2" xfId="14843" xr:uid="{D150FF81-BECC-45EA-8AE1-4CCD8B12293B}"/>
    <cellStyle name="Normal 9 2 2 2 2 3 4" xfId="9328" xr:uid="{00000000-0005-0000-0000-000097240000}"/>
    <cellStyle name="Normal 9 2 2 2 2 3 5" xfId="10535" xr:uid="{D50250A7-8AE5-4336-A3F6-D22E9E3EF406}"/>
    <cellStyle name="Normal 9 2 2 2 2 4" xfId="1358" xr:uid="{00000000-0005-0000-0000-000075050000}"/>
    <cellStyle name="Normal 9 2 2 2 2 4 2" xfId="3588" xr:uid="{00000000-0005-0000-0000-00002B0E0000}"/>
    <cellStyle name="Normal 9 2 2 2 2 4 2 2" xfId="7810" xr:uid="{00000000-0005-0000-0000-0000A91E0000}"/>
    <cellStyle name="Normal 9 2 2 2 2 4 2 2 2" xfId="17401" xr:uid="{C668C845-3297-4D56-9B70-378CE19FDE33}"/>
    <cellStyle name="Normal 9 2 2 2 2 4 2 3" xfId="13180" xr:uid="{0AD8948A-5667-4A93-B0C2-5664954D868F}"/>
    <cellStyle name="Normal 9 2 2 2 2 4 3" xfId="5665" xr:uid="{00000000-0005-0000-0000-000048160000}"/>
    <cellStyle name="Normal 9 2 2 2 2 4 3 2" xfId="15256" xr:uid="{DCC18F18-EE32-4AE0-9B10-174E032DE077}"/>
    <cellStyle name="Normal 9 2 2 2 2 4 4" xfId="10951" xr:uid="{FAC8C8DD-2067-4AAD-B5FC-1C7B86E3E1E7}"/>
    <cellStyle name="Normal 9 2 2 2 2 5" xfId="1771" xr:uid="{00000000-0005-0000-0000-000012070000}"/>
    <cellStyle name="Normal 9 2 2 2 2 5 2" xfId="4001" xr:uid="{00000000-0005-0000-0000-0000C80F0000}"/>
    <cellStyle name="Normal 9 2 2 2 2 5 2 2" xfId="8223" xr:uid="{00000000-0005-0000-0000-000046200000}"/>
    <cellStyle name="Normal 9 2 2 2 2 5 2 2 2" xfId="17814" xr:uid="{E8A01DFD-7001-4776-B665-FC9AD0A6BD6C}"/>
    <cellStyle name="Normal 9 2 2 2 2 5 2 3" xfId="13593" xr:uid="{BE771E72-1FEA-41CD-BFD2-FA4605EFAFDA}"/>
    <cellStyle name="Normal 9 2 2 2 2 5 3" xfId="6078" xr:uid="{00000000-0005-0000-0000-0000E5170000}"/>
    <cellStyle name="Normal 9 2 2 2 2 5 3 2" xfId="15669" xr:uid="{CDF065BF-A869-4049-A4E2-AA2C9AAA6199}"/>
    <cellStyle name="Normal 9 2 2 2 2 5 4" xfId="11364" xr:uid="{73EE628F-6B0E-4877-B621-7971D54CE325}"/>
    <cellStyle name="Normal 9 2 2 2 2 6" xfId="2185" xr:uid="{00000000-0005-0000-0000-0000B0080000}"/>
    <cellStyle name="Normal 9 2 2 2 2 6 2" xfId="4414" xr:uid="{00000000-0005-0000-0000-000065110000}"/>
    <cellStyle name="Normal 9 2 2 2 2 6 2 2" xfId="8636" xr:uid="{00000000-0005-0000-0000-0000E3210000}"/>
    <cellStyle name="Normal 9 2 2 2 2 6 2 2 2" xfId="18227" xr:uid="{57BF988F-7D4B-4583-A509-0A43DD255DBF}"/>
    <cellStyle name="Normal 9 2 2 2 2 6 2 3" xfId="14006" xr:uid="{199120E0-28D2-482A-A09A-98A0F494FFA3}"/>
    <cellStyle name="Normal 9 2 2 2 2 6 3" xfId="6491" xr:uid="{00000000-0005-0000-0000-000082190000}"/>
    <cellStyle name="Normal 9 2 2 2 2 6 3 2" xfId="16082" xr:uid="{5614D6D0-F369-4550-92D8-3594512BAC51}"/>
    <cellStyle name="Normal 9 2 2 2 2 6 4" xfId="11777" xr:uid="{EA9D59CD-4B9D-47BC-9E97-40DB3943CA40}"/>
    <cellStyle name="Normal 9 2 2 2 2 7" xfId="2621" xr:uid="{00000000-0005-0000-0000-0000640A0000}"/>
    <cellStyle name="Normal 9 2 2 2 2 7 2" xfId="6904" xr:uid="{00000000-0005-0000-0000-00001F1B0000}"/>
    <cellStyle name="Normal 9 2 2 2 2 7 2 2" xfId="16495" xr:uid="{D4BC905E-5F48-402E-A716-991951B84CF3}"/>
    <cellStyle name="Normal 9 2 2 2 2 7 3" xfId="12213" xr:uid="{424B0EF4-C8B7-467A-A00A-D079587D62B0}"/>
    <cellStyle name="Normal 9 2 2 2 2 8" xfId="4839" xr:uid="{00000000-0005-0000-0000-00000E130000}"/>
    <cellStyle name="Normal 9 2 2 2 2 8 2" xfId="14430" xr:uid="{4C18ECC3-F31B-4BA6-AE62-ABF7D5D187BB}"/>
    <cellStyle name="Normal 9 2 2 2 2 9" xfId="8903" xr:uid="{00000000-0005-0000-0000-0000EE220000}"/>
    <cellStyle name="Normal 9 2 2 2 3" xfId="480" xr:uid="{00000000-0005-0000-0000-000004020000}"/>
    <cellStyle name="Normal 9 2 2 2 3 2" xfId="944" xr:uid="{00000000-0005-0000-0000-0000D7030000}"/>
    <cellStyle name="Normal 9 2 2 2 3 2 2" xfId="3177" xr:uid="{00000000-0005-0000-0000-0000900C0000}"/>
    <cellStyle name="Normal 9 2 2 2 3 2 2 2" xfId="7399" xr:uid="{00000000-0005-0000-0000-00000E1D0000}"/>
    <cellStyle name="Normal 9 2 2 2 3 2 2 2 2" xfId="16990" xr:uid="{AC5F2BEE-7B4A-40D6-921D-9BA60780CDC9}"/>
    <cellStyle name="Normal 9 2 2 2 3 2 2 3" xfId="12769" xr:uid="{B30EDF3B-1C31-4A11-8CEE-69BA5FA700D5}"/>
    <cellStyle name="Normal 9 2 2 2 3 2 3" xfId="5254" xr:uid="{00000000-0005-0000-0000-0000AD140000}"/>
    <cellStyle name="Normal 9 2 2 2 3 2 3 2" xfId="14845" xr:uid="{A3CB6DAF-76E9-4739-A854-35CA92EFB0BB}"/>
    <cellStyle name="Normal 9 2 2 2 3 2 4" xfId="9432" xr:uid="{00000000-0005-0000-0000-0000FF240000}"/>
    <cellStyle name="Normal 9 2 2 2 3 2 5" xfId="10537" xr:uid="{B54F39F7-3121-4D84-9DF0-94773F7DD876}"/>
    <cellStyle name="Normal 9 2 2 2 3 3" xfId="1360" xr:uid="{00000000-0005-0000-0000-000077050000}"/>
    <cellStyle name="Normal 9 2 2 2 3 3 2" xfId="3590" xr:uid="{00000000-0005-0000-0000-00002D0E0000}"/>
    <cellStyle name="Normal 9 2 2 2 3 3 2 2" xfId="7812" xr:uid="{00000000-0005-0000-0000-0000AB1E0000}"/>
    <cellStyle name="Normal 9 2 2 2 3 3 2 2 2" xfId="17403" xr:uid="{D4A1F49B-CD9B-472A-B40D-6F815D7BEEB5}"/>
    <cellStyle name="Normal 9 2 2 2 3 3 2 3" xfId="13182" xr:uid="{8AD905FD-35C8-4418-B74C-D11F7CC79906}"/>
    <cellStyle name="Normal 9 2 2 2 3 3 3" xfId="5667" xr:uid="{00000000-0005-0000-0000-00004A160000}"/>
    <cellStyle name="Normal 9 2 2 2 3 3 3 2" xfId="15258" xr:uid="{8A1CCDA6-1F15-48D5-82E3-4EF6D6858A83}"/>
    <cellStyle name="Normal 9 2 2 2 3 3 4" xfId="10953" xr:uid="{8A7A54A9-9C72-4635-B512-59836DE12D21}"/>
    <cellStyle name="Normal 9 2 2 2 3 4" xfId="1773" xr:uid="{00000000-0005-0000-0000-000014070000}"/>
    <cellStyle name="Normal 9 2 2 2 3 4 2" xfId="4003" xr:uid="{00000000-0005-0000-0000-0000CA0F0000}"/>
    <cellStyle name="Normal 9 2 2 2 3 4 2 2" xfId="8225" xr:uid="{00000000-0005-0000-0000-000048200000}"/>
    <cellStyle name="Normal 9 2 2 2 3 4 2 2 2" xfId="17816" xr:uid="{3EAF5557-6953-42F5-A6F9-84550B82AC61}"/>
    <cellStyle name="Normal 9 2 2 2 3 4 2 3" xfId="13595" xr:uid="{56FF97C0-D0EC-41C0-813B-C12AD309E01F}"/>
    <cellStyle name="Normal 9 2 2 2 3 4 3" xfId="6080" xr:uid="{00000000-0005-0000-0000-0000E7170000}"/>
    <cellStyle name="Normal 9 2 2 2 3 4 3 2" xfId="15671" xr:uid="{6E1EB85F-E3A4-49BD-BBA8-9F78C949385E}"/>
    <cellStyle name="Normal 9 2 2 2 3 4 4" xfId="11366" xr:uid="{AF957AA5-F2B7-4E88-BDD1-C6E5BFC26D06}"/>
    <cellStyle name="Normal 9 2 2 2 3 5" xfId="2187" xr:uid="{00000000-0005-0000-0000-0000B2080000}"/>
    <cellStyle name="Normal 9 2 2 2 3 5 2" xfId="4416" xr:uid="{00000000-0005-0000-0000-000067110000}"/>
    <cellStyle name="Normal 9 2 2 2 3 5 2 2" xfId="8638" xr:uid="{00000000-0005-0000-0000-0000E5210000}"/>
    <cellStyle name="Normal 9 2 2 2 3 5 2 2 2" xfId="18229" xr:uid="{F8C13E3B-DFC0-4B2C-A249-68B94D9EB52C}"/>
    <cellStyle name="Normal 9 2 2 2 3 5 2 3" xfId="14008" xr:uid="{7D03332C-3398-4113-8892-8BA883CBBA12}"/>
    <cellStyle name="Normal 9 2 2 2 3 5 3" xfId="6493" xr:uid="{00000000-0005-0000-0000-000084190000}"/>
    <cellStyle name="Normal 9 2 2 2 3 5 3 2" xfId="16084" xr:uid="{28F8C07E-DC68-4C64-9DD4-828AA7632426}"/>
    <cellStyle name="Normal 9 2 2 2 3 5 4" xfId="11779" xr:uid="{52290BC7-A846-4BA6-AD76-7C836FE652B2}"/>
    <cellStyle name="Normal 9 2 2 2 3 6" xfId="2623" xr:uid="{00000000-0005-0000-0000-0000660A0000}"/>
    <cellStyle name="Normal 9 2 2 2 3 6 2" xfId="6906" xr:uid="{00000000-0005-0000-0000-0000211B0000}"/>
    <cellStyle name="Normal 9 2 2 2 3 6 2 2" xfId="16497" xr:uid="{2445DFF3-4C46-4722-866A-7A2A05EC1926}"/>
    <cellStyle name="Normal 9 2 2 2 3 6 3" xfId="12215" xr:uid="{D4B6F6B2-6366-4F03-942B-A97CFEA60937}"/>
    <cellStyle name="Normal 9 2 2 2 3 7" xfId="4841" xr:uid="{00000000-0005-0000-0000-000010130000}"/>
    <cellStyle name="Normal 9 2 2 2 3 7 2" xfId="14432" xr:uid="{3D22565C-1983-4A2B-90D3-6F71512AA6A8}"/>
    <cellStyle name="Normal 9 2 2 2 3 8" xfId="9007" xr:uid="{00000000-0005-0000-0000-000056230000}"/>
    <cellStyle name="Normal 9 2 2 2 3 9" xfId="10078" xr:uid="{7BB8048D-A66F-4F2F-906C-21AFEDF1DB7D}"/>
    <cellStyle name="Normal 9 2 2 2 4" xfId="941" xr:uid="{00000000-0005-0000-0000-0000D4030000}"/>
    <cellStyle name="Normal 9 2 2 2 4 2" xfId="3174" xr:uid="{00000000-0005-0000-0000-00008D0C0000}"/>
    <cellStyle name="Normal 9 2 2 2 4 2 2" xfId="7396" xr:uid="{00000000-0005-0000-0000-00000B1D0000}"/>
    <cellStyle name="Normal 9 2 2 2 4 2 2 2" xfId="16987" xr:uid="{0A748CDA-611F-461A-A5A3-901F6C1DACEF}"/>
    <cellStyle name="Normal 9 2 2 2 4 2 3" xfId="12766" xr:uid="{F67AB6C4-2B03-412B-8C5B-5E197F636950}"/>
    <cellStyle name="Normal 9 2 2 2 4 3" xfId="5251" xr:uid="{00000000-0005-0000-0000-0000AA140000}"/>
    <cellStyle name="Normal 9 2 2 2 4 3 2" xfId="14842" xr:uid="{0B2852B3-AFA8-4299-9EC4-7F2BB990B716}"/>
    <cellStyle name="Normal 9 2 2 2 4 4" xfId="9225" xr:uid="{00000000-0005-0000-0000-000030240000}"/>
    <cellStyle name="Normal 9 2 2 2 4 5" xfId="10534" xr:uid="{AD1A0BB5-7651-41F2-BE94-D077E694F6F0}"/>
    <cellStyle name="Normal 9 2 2 2 5" xfId="1357" xr:uid="{00000000-0005-0000-0000-000074050000}"/>
    <cellStyle name="Normal 9 2 2 2 5 2" xfId="3587" xr:uid="{00000000-0005-0000-0000-00002A0E0000}"/>
    <cellStyle name="Normal 9 2 2 2 5 2 2" xfId="7809" xr:uid="{00000000-0005-0000-0000-0000A81E0000}"/>
    <cellStyle name="Normal 9 2 2 2 5 2 2 2" xfId="17400" xr:uid="{350190B9-C58D-4CC5-AE21-BC021D14C885}"/>
    <cellStyle name="Normal 9 2 2 2 5 2 3" xfId="13179" xr:uid="{4D4392A3-3682-42F9-8251-1B462B35A11D}"/>
    <cellStyle name="Normal 9 2 2 2 5 3" xfId="5664" xr:uid="{00000000-0005-0000-0000-000047160000}"/>
    <cellStyle name="Normal 9 2 2 2 5 3 2" xfId="15255" xr:uid="{BF11DF39-B3CD-409A-8137-059A41168FE1}"/>
    <cellStyle name="Normal 9 2 2 2 5 4" xfId="10950" xr:uid="{D5F8668C-B5C2-4D15-A89A-DA5D63E166B9}"/>
    <cellStyle name="Normal 9 2 2 2 6" xfId="1770" xr:uid="{00000000-0005-0000-0000-000011070000}"/>
    <cellStyle name="Normal 9 2 2 2 6 2" xfId="4000" xr:uid="{00000000-0005-0000-0000-0000C70F0000}"/>
    <cellStyle name="Normal 9 2 2 2 6 2 2" xfId="8222" xr:uid="{00000000-0005-0000-0000-000045200000}"/>
    <cellStyle name="Normal 9 2 2 2 6 2 2 2" xfId="17813" xr:uid="{1AEAB464-B3CE-4F30-80EC-D7EE54607130}"/>
    <cellStyle name="Normal 9 2 2 2 6 2 3" xfId="13592" xr:uid="{FF57F8D8-50A3-4796-A64D-683C41DE9FFA}"/>
    <cellStyle name="Normal 9 2 2 2 6 3" xfId="6077" xr:uid="{00000000-0005-0000-0000-0000E4170000}"/>
    <cellStyle name="Normal 9 2 2 2 6 3 2" xfId="15668" xr:uid="{1C71C9AA-2A40-4206-B3C7-90DC908B15E8}"/>
    <cellStyle name="Normal 9 2 2 2 6 4" xfId="11363" xr:uid="{B3C26A2F-4E2E-4682-B16E-381B70F2F290}"/>
    <cellStyle name="Normal 9 2 2 2 7" xfId="2184" xr:uid="{00000000-0005-0000-0000-0000AF080000}"/>
    <cellStyle name="Normal 9 2 2 2 7 2" xfId="4413" xr:uid="{00000000-0005-0000-0000-000064110000}"/>
    <cellStyle name="Normal 9 2 2 2 7 2 2" xfId="8635" xr:uid="{00000000-0005-0000-0000-0000E2210000}"/>
    <cellStyle name="Normal 9 2 2 2 7 2 2 2" xfId="18226" xr:uid="{A0DA2BF9-F792-45DE-B2DD-448FAA7D03DA}"/>
    <cellStyle name="Normal 9 2 2 2 7 2 3" xfId="14005" xr:uid="{DEA2CA8E-92E8-4CD7-9604-A778A59AD52D}"/>
    <cellStyle name="Normal 9 2 2 2 7 3" xfId="6490" xr:uid="{00000000-0005-0000-0000-000081190000}"/>
    <cellStyle name="Normal 9 2 2 2 7 3 2" xfId="16081" xr:uid="{542BF002-94BF-478B-B9FA-67B3EC6B5B5A}"/>
    <cellStyle name="Normal 9 2 2 2 7 4" xfId="11776" xr:uid="{6F5554E8-73CC-4E25-AC41-1E95F1FB2221}"/>
    <cellStyle name="Normal 9 2 2 2 8" xfId="2620" xr:uid="{00000000-0005-0000-0000-0000630A0000}"/>
    <cellStyle name="Normal 9 2 2 2 8 2" xfId="6903" xr:uid="{00000000-0005-0000-0000-00001E1B0000}"/>
    <cellStyle name="Normal 9 2 2 2 8 2 2" xfId="16494" xr:uid="{5CD9B4D4-CEEE-4373-9420-C496192A711C}"/>
    <cellStyle name="Normal 9 2 2 2 8 3" xfId="12212" xr:uid="{0B942D14-CB4B-4240-A7FD-3E173F0CDDD2}"/>
    <cellStyle name="Normal 9 2 2 2 9" xfId="4838" xr:uid="{00000000-0005-0000-0000-00000D130000}"/>
    <cellStyle name="Normal 9 2 2 2 9 2" xfId="14429" xr:uid="{3C4AE721-A43A-4FEA-8CA7-25BA883E713F}"/>
    <cellStyle name="Normal 9 2 2 3" xfId="481" xr:uid="{00000000-0005-0000-0000-000005020000}"/>
    <cellStyle name="Normal 9 2 2 3 10" xfId="10079" xr:uid="{DCA98A83-4D63-4504-BB36-8FABA149D0FA}"/>
    <cellStyle name="Normal 9 2 2 3 2" xfId="482" xr:uid="{00000000-0005-0000-0000-000006020000}"/>
    <cellStyle name="Normal 9 2 2 3 2 2" xfId="946" xr:uid="{00000000-0005-0000-0000-0000D9030000}"/>
    <cellStyle name="Normal 9 2 2 3 2 2 2" xfId="3179" xr:uid="{00000000-0005-0000-0000-0000920C0000}"/>
    <cellStyle name="Normal 9 2 2 3 2 2 2 2" xfId="7401" xr:uid="{00000000-0005-0000-0000-0000101D0000}"/>
    <cellStyle name="Normal 9 2 2 3 2 2 2 2 2" xfId="16992" xr:uid="{1E4F1D73-C473-45D1-A8E7-6544CCC44BD7}"/>
    <cellStyle name="Normal 9 2 2 3 2 2 2 3" xfId="12771" xr:uid="{882470CA-F25E-4B3B-A91A-F9591BF39DA5}"/>
    <cellStyle name="Normal 9 2 2 3 2 2 3" xfId="5256" xr:uid="{00000000-0005-0000-0000-0000AF140000}"/>
    <cellStyle name="Normal 9 2 2 3 2 2 3 2" xfId="14847" xr:uid="{6B0050A6-83AB-4C8D-888F-07D2878C06E9}"/>
    <cellStyle name="Normal 9 2 2 3 2 2 4" xfId="9481" xr:uid="{00000000-0005-0000-0000-000030250000}"/>
    <cellStyle name="Normal 9 2 2 3 2 2 5" xfId="10539" xr:uid="{6C80DF2D-4B18-4F68-A82C-3CFD9596C58E}"/>
    <cellStyle name="Normal 9 2 2 3 2 3" xfId="1362" xr:uid="{00000000-0005-0000-0000-000079050000}"/>
    <cellStyle name="Normal 9 2 2 3 2 3 2" xfId="3592" xr:uid="{00000000-0005-0000-0000-00002F0E0000}"/>
    <cellStyle name="Normal 9 2 2 3 2 3 2 2" xfId="7814" xr:uid="{00000000-0005-0000-0000-0000AD1E0000}"/>
    <cellStyle name="Normal 9 2 2 3 2 3 2 2 2" xfId="17405" xr:uid="{7B50A8A7-CD6A-4872-A8FA-E6D486A009C0}"/>
    <cellStyle name="Normal 9 2 2 3 2 3 2 3" xfId="13184" xr:uid="{57AC1935-C9A3-4EB9-88A2-2BC48A6F7A34}"/>
    <cellStyle name="Normal 9 2 2 3 2 3 3" xfId="5669" xr:uid="{00000000-0005-0000-0000-00004C160000}"/>
    <cellStyle name="Normal 9 2 2 3 2 3 3 2" xfId="15260" xr:uid="{98B2D254-A116-4476-A06B-0F820D86976E}"/>
    <cellStyle name="Normal 9 2 2 3 2 3 4" xfId="10955" xr:uid="{87CCAC0A-D6B9-4168-BDAF-84429F49279C}"/>
    <cellStyle name="Normal 9 2 2 3 2 4" xfId="1775" xr:uid="{00000000-0005-0000-0000-000016070000}"/>
    <cellStyle name="Normal 9 2 2 3 2 4 2" xfId="4005" xr:uid="{00000000-0005-0000-0000-0000CC0F0000}"/>
    <cellStyle name="Normal 9 2 2 3 2 4 2 2" xfId="8227" xr:uid="{00000000-0005-0000-0000-00004A200000}"/>
    <cellStyle name="Normal 9 2 2 3 2 4 2 2 2" xfId="17818" xr:uid="{62B4DE7C-883B-4CE2-976E-3D5B9E10BBF7}"/>
    <cellStyle name="Normal 9 2 2 3 2 4 2 3" xfId="13597" xr:uid="{378B59DD-2D1C-462D-AA0A-1DBAF0829225}"/>
    <cellStyle name="Normal 9 2 2 3 2 4 3" xfId="6082" xr:uid="{00000000-0005-0000-0000-0000E9170000}"/>
    <cellStyle name="Normal 9 2 2 3 2 4 3 2" xfId="15673" xr:uid="{850AA72A-7E2A-4629-B825-4F5F52A0BD06}"/>
    <cellStyle name="Normal 9 2 2 3 2 4 4" xfId="11368" xr:uid="{0E596CBA-DC30-49D7-9E3A-D9D5CF6EFA23}"/>
    <cellStyle name="Normal 9 2 2 3 2 5" xfId="2189" xr:uid="{00000000-0005-0000-0000-0000B4080000}"/>
    <cellStyle name="Normal 9 2 2 3 2 5 2" xfId="4418" xr:uid="{00000000-0005-0000-0000-000069110000}"/>
    <cellStyle name="Normal 9 2 2 3 2 5 2 2" xfId="8640" xr:uid="{00000000-0005-0000-0000-0000E7210000}"/>
    <cellStyle name="Normal 9 2 2 3 2 5 2 2 2" xfId="18231" xr:uid="{40ADA46C-09DC-463E-A571-39B88080EBC3}"/>
    <cellStyle name="Normal 9 2 2 3 2 5 2 3" xfId="14010" xr:uid="{0281B44E-F2B7-404A-8F8F-ABB3C14B0C93}"/>
    <cellStyle name="Normal 9 2 2 3 2 5 3" xfId="6495" xr:uid="{00000000-0005-0000-0000-000086190000}"/>
    <cellStyle name="Normal 9 2 2 3 2 5 3 2" xfId="16086" xr:uid="{B90FB21C-2E1A-4BD1-A869-3D620025FADC}"/>
    <cellStyle name="Normal 9 2 2 3 2 5 4" xfId="11781" xr:uid="{8B5869C8-0D86-4EC9-830D-00A68E42DCA5}"/>
    <cellStyle name="Normal 9 2 2 3 2 6" xfId="2625" xr:uid="{00000000-0005-0000-0000-0000680A0000}"/>
    <cellStyle name="Normal 9 2 2 3 2 6 2" xfId="6908" xr:uid="{00000000-0005-0000-0000-0000231B0000}"/>
    <cellStyle name="Normal 9 2 2 3 2 6 2 2" xfId="16499" xr:uid="{BC169607-1478-4414-87D1-A31CAEB4024A}"/>
    <cellStyle name="Normal 9 2 2 3 2 6 3" xfId="12217" xr:uid="{39E5A111-B0D6-49D2-97F4-4010A6C0CA32}"/>
    <cellStyle name="Normal 9 2 2 3 2 7" xfId="4843" xr:uid="{00000000-0005-0000-0000-000012130000}"/>
    <cellStyle name="Normal 9 2 2 3 2 7 2" xfId="14434" xr:uid="{32BDD965-5E00-4909-9385-78DD76CBD551}"/>
    <cellStyle name="Normal 9 2 2 3 2 8" xfId="9056" xr:uid="{00000000-0005-0000-0000-000087230000}"/>
    <cellStyle name="Normal 9 2 2 3 2 9" xfId="10080" xr:uid="{659E4CE1-56DE-413A-B014-FC469744DC99}"/>
    <cellStyle name="Normal 9 2 2 3 3" xfId="945" xr:uid="{00000000-0005-0000-0000-0000D8030000}"/>
    <cellStyle name="Normal 9 2 2 3 3 2" xfId="3178" xr:uid="{00000000-0005-0000-0000-0000910C0000}"/>
    <cellStyle name="Normal 9 2 2 3 3 2 2" xfId="7400" xr:uid="{00000000-0005-0000-0000-00000F1D0000}"/>
    <cellStyle name="Normal 9 2 2 3 3 2 2 2" xfId="16991" xr:uid="{EAC260C9-2BB5-4390-AA5E-15F21806C437}"/>
    <cellStyle name="Normal 9 2 2 3 3 2 3" xfId="12770" xr:uid="{6B6FCB72-CCF7-4514-AFA9-9F707A03385E}"/>
    <cellStyle name="Normal 9 2 2 3 3 3" xfId="5255" xr:uid="{00000000-0005-0000-0000-0000AE140000}"/>
    <cellStyle name="Normal 9 2 2 3 3 3 2" xfId="14846" xr:uid="{5DBD1346-1D65-490B-A1F0-C6E9655CDA4E}"/>
    <cellStyle name="Normal 9 2 2 3 3 4" xfId="9274" xr:uid="{00000000-0005-0000-0000-000061240000}"/>
    <cellStyle name="Normal 9 2 2 3 3 5" xfId="10538" xr:uid="{2742A941-77A3-46F3-AE6C-B3E92863477B}"/>
    <cellStyle name="Normal 9 2 2 3 4" xfId="1361" xr:uid="{00000000-0005-0000-0000-000078050000}"/>
    <cellStyle name="Normal 9 2 2 3 4 2" xfId="3591" xr:uid="{00000000-0005-0000-0000-00002E0E0000}"/>
    <cellStyle name="Normal 9 2 2 3 4 2 2" xfId="7813" xr:uid="{00000000-0005-0000-0000-0000AC1E0000}"/>
    <cellStyle name="Normal 9 2 2 3 4 2 2 2" xfId="17404" xr:uid="{58197F14-471F-45D0-902D-EA0419839928}"/>
    <cellStyle name="Normal 9 2 2 3 4 2 3" xfId="13183" xr:uid="{8CC87AA4-E9DA-493B-9F95-32D331E07E8B}"/>
    <cellStyle name="Normal 9 2 2 3 4 3" xfId="5668" xr:uid="{00000000-0005-0000-0000-00004B160000}"/>
    <cellStyle name="Normal 9 2 2 3 4 3 2" xfId="15259" xr:uid="{5A57469E-8349-45B8-A491-E7AB7A1B06E5}"/>
    <cellStyle name="Normal 9 2 2 3 4 4" xfId="10954" xr:uid="{BD9CBCFD-7DAE-4166-B050-62A1E9D9FC41}"/>
    <cellStyle name="Normal 9 2 2 3 5" xfId="1774" xr:uid="{00000000-0005-0000-0000-000015070000}"/>
    <cellStyle name="Normal 9 2 2 3 5 2" xfId="4004" xr:uid="{00000000-0005-0000-0000-0000CB0F0000}"/>
    <cellStyle name="Normal 9 2 2 3 5 2 2" xfId="8226" xr:uid="{00000000-0005-0000-0000-000049200000}"/>
    <cellStyle name="Normal 9 2 2 3 5 2 2 2" xfId="17817" xr:uid="{287A8B74-8FFB-4BE3-ADA9-1923FAB10EC8}"/>
    <cellStyle name="Normal 9 2 2 3 5 2 3" xfId="13596" xr:uid="{7E26FB5D-5C6A-41FD-B371-7EED83042BC5}"/>
    <cellStyle name="Normal 9 2 2 3 5 3" xfId="6081" xr:uid="{00000000-0005-0000-0000-0000E8170000}"/>
    <cellStyle name="Normal 9 2 2 3 5 3 2" xfId="15672" xr:uid="{E404FA89-1785-4977-9F64-6B32D9BED206}"/>
    <cellStyle name="Normal 9 2 2 3 5 4" xfId="11367" xr:uid="{A8FB9D7E-DF42-4658-89E5-15E1FDB8CF04}"/>
    <cellStyle name="Normal 9 2 2 3 6" xfId="2188" xr:uid="{00000000-0005-0000-0000-0000B3080000}"/>
    <cellStyle name="Normal 9 2 2 3 6 2" xfId="4417" xr:uid="{00000000-0005-0000-0000-000068110000}"/>
    <cellStyle name="Normal 9 2 2 3 6 2 2" xfId="8639" xr:uid="{00000000-0005-0000-0000-0000E6210000}"/>
    <cellStyle name="Normal 9 2 2 3 6 2 2 2" xfId="18230" xr:uid="{CBFD93CE-B1BE-4511-A89F-F9CFBAE262BC}"/>
    <cellStyle name="Normal 9 2 2 3 6 2 3" xfId="14009" xr:uid="{228A2B53-5F16-4527-81D2-8C2842C75F90}"/>
    <cellStyle name="Normal 9 2 2 3 6 3" xfId="6494" xr:uid="{00000000-0005-0000-0000-000085190000}"/>
    <cellStyle name="Normal 9 2 2 3 6 3 2" xfId="16085" xr:uid="{689E41A5-03B8-473C-A5FE-DFB63E2B80F7}"/>
    <cellStyle name="Normal 9 2 2 3 6 4" xfId="11780" xr:uid="{7F7F0A37-41BB-4BD4-B455-918CF9253891}"/>
    <cellStyle name="Normal 9 2 2 3 7" xfId="2624" xr:uid="{00000000-0005-0000-0000-0000670A0000}"/>
    <cellStyle name="Normal 9 2 2 3 7 2" xfId="6907" xr:uid="{00000000-0005-0000-0000-0000221B0000}"/>
    <cellStyle name="Normal 9 2 2 3 7 2 2" xfId="16498" xr:uid="{E2A1F95C-8E9F-4647-9E1A-13C80956CAF1}"/>
    <cellStyle name="Normal 9 2 2 3 7 3" xfId="12216" xr:uid="{9B1B8997-3D12-4657-986A-C16800DEE2A6}"/>
    <cellStyle name="Normal 9 2 2 3 8" xfId="4842" xr:uid="{00000000-0005-0000-0000-000011130000}"/>
    <cellStyle name="Normal 9 2 2 3 8 2" xfId="14433" xr:uid="{E5E1210E-4E13-411D-99CF-A0920196F757}"/>
    <cellStyle name="Normal 9 2 2 3 9" xfId="8849" xr:uid="{00000000-0005-0000-0000-0000B8220000}"/>
    <cellStyle name="Normal 9 2 2 4" xfId="483" xr:uid="{00000000-0005-0000-0000-000007020000}"/>
    <cellStyle name="Normal 9 2 2 4 2" xfId="947" xr:uid="{00000000-0005-0000-0000-0000DA030000}"/>
    <cellStyle name="Normal 9 2 2 4 2 2" xfId="3180" xr:uid="{00000000-0005-0000-0000-0000930C0000}"/>
    <cellStyle name="Normal 9 2 2 4 2 2 2" xfId="7402" xr:uid="{00000000-0005-0000-0000-0000111D0000}"/>
    <cellStyle name="Normal 9 2 2 4 2 2 2 2" xfId="16993" xr:uid="{48E7DAAD-A2E2-49D2-BB52-DD607F76A6A0}"/>
    <cellStyle name="Normal 9 2 2 4 2 2 3" xfId="12772" xr:uid="{CEC34804-1D5B-406D-91CF-4F4C10732590}"/>
    <cellStyle name="Normal 9 2 2 4 2 3" xfId="5257" xr:uid="{00000000-0005-0000-0000-0000B0140000}"/>
    <cellStyle name="Normal 9 2 2 4 2 3 2" xfId="14848" xr:uid="{BCCE2B91-2654-4223-8758-7BED9F932102}"/>
    <cellStyle name="Normal 9 2 2 4 2 4" xfId="9378" xr:uid="{00000000-0005-0000-0000-0000C9240000}"/>
    <cellStyle name="Normal 9 2 2 4 2 5" xfId="10540" xr:uid="{A854AA36-87B6-4FD6-B78B-C8DCBAE6B60E}"/>
    <cellStyle name="Normal 9 2 2 4 3" xfId="1363" xr:uid="{00000000-0005-0000-0000-00007A050000}"/>
    <cellStyle name="Normal 9 2 2 4 3 2" xfId="3593" xr:uid="{00000000-0005-0000-0000-0000300E0000}"/>
    <cellStyle name="Normal 9 2 2 4 3 2 2" xfId="7815" xr:uid="{00000000-0005-0000-0000-0000AE1E0000}"/>
    <cellStyle name="Normal 9 2 2 4 3 2 2 2" xfId="17406" xr:uid="{BF84239D-1090-4A4B-92C2-FFE36B624CA2}"/>
    <cellStyle name="Normal 9 2 2 4 3 2 3" xfId="13185" xr:uid="{60AB901A-FE5B-4C3F-8E23-69563B2D0092}"/>
    <cellStyle name="Normal 9 2 2 4 3 3" xfId="5670" xr:uid="{00000000-0005-0000-0000-00004D160000}"/>
    <cellStyle name="Normal 9 2 2 4 3 3 2" xfId="15261" xr:uid="{C4E28383-0098-4B22-8E4E-0F481E83203D}"/>
    <cellStyle name="Normal 9 2 2 4 3 4" xfId="10956" xr:uid="{8A65CA04-5B7D-4A4A-9110-2C24EED7227C}"/>
    <cellStyle name="Normal 9 2 2 4 4" xfId="1776" xr:uid="{00000000-0005-0000-0000-000017070000}"/>
    <cellStyle name="Normal 9 2 2 4 4 2" xfId="4006" xr:uid="{00000000-0005-0000-0000-0000CD0F0000}"/>
    <cellStyle name="Normal 9 2 2 4 4 2 2" xfId="8228" xr:uid="{00000000-0005-0000-0000-00004B200000}"/>
    <cellStyle name="Normal 9 2 2 4 4 2 2 2" xfId="17819" xr:uid="{84B50321-946C-4D00-BD75-92AC004CF5D7}"/>
    <cellStyle name="Normal 9 2 2 4 4 2 3" xfId="13598" xr:uid="{125B120A-DC6A-45F9-B5A9-B10A13E5D61C}"/>
    <cellStyle name="Normal 9 2 2 4 4 3" xfId="6083" xr:uid="{00000000-0005-0000-0000-0000EA170000}"/>
    <cellStyle name="Normal 9 2 2 4 4 3 2" xfId="15674" xr:uid="{65F9ED2B-C994-4584-87F6-1AC9F93947C0}"/>
    <cellStyle name="Normal 9 2 2 4 4 4" xfId="11369" xr:uid="{6BDD05D5-4197-4056-A277-5CF8B2088D3D}"/>
    <cellStyle name="Normal 9 2 2 4 5" xfId="2190" xr:uid="{00000000-0005-0000-0000-0000B5080000}"/>
    <cellStyle name="Normal 9 2 2 4 5 2" xfId="4419" xr:uid="{00000000-0005-0000-0000-00006A110000}"/>
    <cellStyle name="Normal 9 2 2 4 5 2 2" xfId="8641" xr:uid="{00000000-0005-0000-0000-0000E8210000}"/>
    <cellStyle name="Normal 9 2 2 4 5 2 2 2" xfId="18232" xr:uid="{7D33E9F8-EB41-4862-8C48-C72B423AC832}"/>
    <cellStyle name="Normal 9 2 2 4 5 2 3" xfId="14011" xr:uid="{30989B15-1B44-4919-9B4C-4EA604DF7974}"/>
    <cellStyle name="Normal 9 2 2 4 5 3" xfId="6496" xr:uid="{00000000-0005-0000-0000-000087190000}"/>
    <cellStyle name="Normal 9 2 2 4 5 3 2" xfId="16087" xr:uid="{403B4099-47D1-4DC0-BEC3-18136E15CEE1}"/>
    <cellStyle name="Normal 9 2 2 4 5 4" xfId="11782" xr:uid="{9381AEF3-B66D-4851-A00E-2EB01A55B6EF}"/>
    <cellStyle name="Normal 9 2 2 4 6" xfId="2626" xr:uid="{00000000-0005-0000-0000-0000690A0000}"/>
    <cellStyle name="Normal 9 2 2 4 6 2" xfId="6909" xr:uid="{00000000-0005-0000-0000-0000241B0000}"/>
    <cellStyle name="Normal 9 2 2 4 6 2 2" xfId="16500" xr:uid="{511F8F2A-9753-4550-AB40-1FA82BB53931}"/>
    <cellStyle name="Normal 9 2 2 4 6 3" xfId="12218" xr:uid="{59B04D1F-7701-403D-BD58-E9BFDF5AF0EB}"/>
    <cellStyle name="Normal 9 2 2 4 7" xfId="4844" xr:uid="{00000000-0005-0000-0000-000013130000}"/>
    <cellStyle name="Normal 9 2 2 4 7 2" xfId="14435" xr:uid="{A1C43694-1BA6-47B6-B25D-6D338E4C62C9}"/>
    <cellStyle name="Normal 9 2 2 4 8" xfId="8953" xr:uid="{00000000-0005-0000-0000-000020230000}"/>
    <cellStyle name="Normal 9 2 2 4 9" xfId="10081" xr:uid="{379367AB-7C43-420B-82A3-88EA8DCBEF03}"/>
    <cellStyle name="Normal 9 2 2 5" xfId="940" xr:uid="{00000000-0005-0000-0000-0000D3030000}"/>
    <cellStyle name="Normal 9 2 2 5 2" xfId="3173" xr:uid="{00000000-0005-0000-0000-00008C0C0000}"/>
    <cellStyle name="Normal 9 2 2 5 2 2" xfId="7395" xr:uid="{00000000-0005-0000-0000-00000A1D0000}"/>
    <cellStyle name="Normal 9 2 2 5 2 2 2" xfId="16986" xr:uid="{F22C82F2-C822-4F4A-8279-F35A1A5C118D}"/>
    <cellStyle name="Normal 9 2 2 5 2 3" xfId="12765" xr:uid="{FC4FEC13-AD42-4D90-90BA-54E2E98B6B77}"/>
    <cellStyle name="Normal 9 2 2 5 3" xfId="5250" xr:uid="{00000000-0005-0000-0000-0000A9140000}"/>
    <cellStyle name="Normal 9 2 2 5 3 2" xfId="14841" xr:uid="{1DF0EA0C-00E3-44CB-821E-47606B710CCF}"/>
    <cellStyle name="Normal 9 2 2 5 4" xfId="9170" xr:uid="{00000000-0005-0000-0000-0000F9230000}"/>
    <cellStyle name="Normal 9 2 2 5 5" xfId="10533" xr:uid="{5B87CBCC-DD21-4388-AB25-6ECD6CD9E9A4}"/>
    <cellStyle name="Normal 9 2 2 6" xfId="1356" xr:uid="{00000000-0005-0000-0000-000073050000}"/>
    <cellStyle name="Normal 9 2 2 6 2" xfId="3586" xr:uid="{00000000-0005-0000-0000-0000290E0000}"/>
    <cellStyle name="Normal 9 2 2 6 2 2" xfId="7808" xr:uid="{00000000-0005-0000-0000-0000A71E0000}"/>
    <cellStyle name="Normal 9 2 2 6 2 2 2" xfId="17399" xr:uid="{A75AA628-A336-494E-AB0C-13AAA7F03579}"/>
    <cellStyle name="Normal 9 2 2 6 2 3" xfId="13178" xr:uid="{D5DC983B-2006-4EFC-AA69-B63C05545351}"/>
    <cellStyle name="Normal 9 2 2 6 3" xfId="5663" xr:uid="{00000000-0005-0000-0000-000046160000}"/>
    <cellStyle name="Normal 9 2 2 6 3 2" xfId="15254" xr:uid="{8300D910-5D6C-46BB-B05F-913A917BEEF2}"/>
    <cellStyle name="Normal 9 2 2 6 4" xfId="10949" xr:uid="{7ED5FA16-1D35-42C9-9168-5E7B4F6E4FA9}"/>
    <cellStyle name="Normal 9 2 2 7" xfId="1769" xr:uid="{00000000-0005-0000-0000-000010070000}"/>
    <cellStyle name="Normal 9 2 2 7 2" xfId="3999" xr:uid="{00000000-0005-0000-0000-0000C60F0000}"/>
    <cellStyle name="Normal 9 2 2 7 2 2" xfId="8221" xr:uid="{00000000-0005-0000-0000-000044200000}"/>
    <cellStyle name="Normal 9 2 2 7 2 2 2" xfId="17812" xr:uid="{D6C5726A-36F1-465E-9C0D-D612BEB9AEC1}"/>
    <cellStyle name="Normal 9 2 2 7 2 3" xfId="13591" xr:uid="{287AF631-847C-4EC8-903A-FE3E4A770235}"/>
    <cellStyle name="Normal 9 2 2 7 3" xfId="6076" xr:uid="{00000000-0005-0000-0000-0000E3170000}"/>
    <cellStyle name="Normal 9 2 2 7 3 2" xfId="15667" xr:uid="{0644488C-EF4F-44A6-BE83-A209A435C3F4}"/>
    <cellStyle name="Normal 9 2 2 7 4" xfId="11362" xr:uid="{9A307C52-F0F0-44A0-A086-B33766088219}"/>
    <cellStyle name="Normal 9 2 2 8" xfId="2183" xr:uid="{00000000-0005-0000-0000-0000AE080000}"/>
    <cellStyle name="Normal 9 2 2 8 2" xfId="4412" xr:uid="{00000000-0005-0000-0000-000063110000}"/>
    <cellStyle name="Normal 9 2 2 8 2 2" xfId="8634" xr:uid="{00000000-0005-0000-0000-0000E1210000}"/>
    <cellStyle name="Normal 9 2 2 8 2 2 2" xfId="18225" xr:uid="{1FB5F577-0749-4CC9-86F9-67ACC25DE094}"/>
    <cellStyle name="Normal 9 2 2 8 2 3" xfId="14004" xr:uid="{07205FA8-3C70-4D7C-A16B-AD72F0925CF8}"/>
    <cellStyle name="Normal 9 2 2 8 3" xfId="6489" xr:uid="{00000000-0005-0000-0000-000080190000}"/>
    <cellStyle name="Normal 9 2 2 8 3 2" xfId="16080" xr:uid="{A9212CC1-01C1-4389-8B58-CE89F3E5AAC6}"/>
    <cellStyle name="Normal 9 2 2 8 4" xfId="11775" xr:uid="{CA1168A4-CCA6-4062-AF01-E5D2BD6043F4}"/>
    <cellStyle name="Normal 9 2 2 9" xfId="2619" xr:uid="{00000000-0005-0000-0000-0000620A0000}"/>
    <cellStyle name="Normal 9 2 2 9 2" xfId="6902" xr:uid="{00000000-0005-0000-0000-00001D1B0000}"/>
    <cellStyle name="Normal 9 2 2 9 2 2" xfId="16493" xr:uid="{6FEF3E5A-5917-4D93-8F62-CFEB961C9346}"/>
    <cellStyle name="Normal 9 2 2 9 3" xfId="12211" xr:uid="{2CC126A6-ABA3-4B95-AE83-1B9F959EE3A5}"/>
    <cellStyle name="Normal 9 2 3" xfId="484" xr:uid="{00000000-0005-0000-0000-000008020000}"/>
    <cellStyle name="Normal 9 2 3 10" xfId="8799" xr:uid="{00000000-0005-0000-0000-000086220000}"/>
    <cellStyle name="Normal 9 2 3 11" xfId="10082" xr:uid="{2B4A1836-2A2E-4AC1-9A30-E9A4BCEC5A2A}"/>
    <cellStyle name="Normal 9 2 3 2" xfId="485" xr:uid="{00000000-0005-0000-0000-000009020000}"/>
    <cellStyle name="Normal 9 2 3 2 10" xfId="10083" xr:uid="{5BA38111-8B48-4D82-931E-D08C94D9C673}"/>
    <cellStyle name="Normal 9 2 3 2 2" xfId="486" xr:uid="{00000000-0005-0000-0000-00000A020000}"/>
    <cellStyle name="Normal 9 2 3 2 2 2" xfId="950" xr:uid="{00000000-0005-0000-0000-0000DD030000}"/>
    <cellStyle name="Normal 9 2 3 2 2 2 2" xfId="3183" xr:uid="{00000000-0005-0000-0000-0000960C0000}"/>
    <cellStyle name="Normal 9 2 3 2 2 2 2 2" xfId="7405" xr:uid="{00000000-0005-0000-0000-0000141D0000}"/>
    <cellStyle name="Normal 9 2 3 2 2 2 2 2 2" xfId="16996" xr:uid="{16F0D9A1-E8AC-485C-A400-CDF903D4EE07}"/>
    <cellStyle name="Normal 9 2 3 2 2 2 2 3" xfId="12775" xr:uid="{000A39AA-EDF1-4638-A454-6B449B96FE62}"/>
    <cellStyle name="Normal 9 2 3 2 2 2 3" xfId="5260" xr:uid="{00000000-0005-0000-0000-0000B3140000}"/>
    <cellStyle name="Normal 9 2 3 2 2 2 3 2" xfId="14851" xr:uid="{33A1A70A-5B30-4048-9022-CC3F71297215}"/>
    <cellStyle name="Normal 9 2 3 2 2 2 4" xfId="9534" xr:uid="{00000000-0005-0000-0000-000065250000}"/>
    <cellStyle name="Normal 9 2 3 2 2 2 5" xfId="10543" xr:uid="{99E1A2FD-ADA3-42D5-9A43-6242A9DE97CA}"/>
    <cellStyle name="Normal 9 2 3 2 2 3" xfId="1366" xr:uid="{00000000-0005-0000-0000-00007D050000}"/>
    <cellStyle name="Normal 9 2 3 2 2 3 2" xfId="3596" xr:uid="{00000000-0005-0000-0000-0000330E0000}"/>
    <cellStyle name="Normal 9 2 3 2 2 3 2 2" xfId="7818" xr:uid="{00000000-0005-0000-0000-0000B11E0000}"/>
    <cellStyle name="Normal 9 2 3 2 2 3 2 2 2" xfId="17409" xr:uid="{0CB03D50-6CD3-40B1-9870-55D2EBC1434B}"/>
    <cellStyle name="Normal 9 2 3 2 2 3 2 3" xfId="13188" xr:uid="{AFC441F4-179D-4B9E-A9B5-3218ECF361C2}"/>
    <cellStyle name="Normal 9 2 3 2 2 3 3" xfId="5673" xr:uid="{00000000-0005-0000-0000-000050160000}"/>
    <cellStyle name="Normal 9 2 3 2 2 3 3 2" xfId="15264" xr:uid="{9C62952C-AED9-4C87-BBFB-405B30891E25}"/>
    <cellStyle name="Normal 9 2 3 2 2 3 4" xfId="10959" xr:uid="{28843D7F-68B1-4CD0-8684-2332FD343909}"/>
    <cellStyle name="Normal 9 2 3 2 2 4" xfId="1779" xr:uid="{00000000-0005-0000-0000-00001A070000}"/>
    <cellStyle name="Normal 9 2 3 2 2 4 2" xfId="4009" xr:uid="{00000000-0005-0000-0000-0000D00F0000}"/>
    <cellStyle name="Normal 9 2 3 2 2 4 2 2" xfId="8231" xr:uid="{00000000-0005-0000-0000-00004E200000}"/>
    <cellStyle name="Normal 9 2 3 2 2 4 2 2 2" xfId="17822" xr:uid="{7DE6ADB2-9144-4D59-B133-9128F37D06E9}"/>
    <cellStyle name="Normal 9 2 3 2 2 4 2 3" xfId="13601" xr:uid="{283DB3B3-714C-40FB-B2E1-B4B0C48424DE}"/>
    <cellStyle name="Normal 9 2 3 2 2 4 3" xfId="6086" xr:uid="{00000000-0005-0000-0000-0000ED170000}"/>
    <cellStyle name="Normal 9 2 3 2 2 4 3 2" xfId="15677" xr:uid="{36F36889-AB53-484C-8BA2-62EBF5A4B969}"/>
    <cellStyle name="Normal 9 2 3 2 2 4 4" xfId="11372" xr:uid="{C5EC7F73-2BD8-4356-9D2E-CCC72EFFAB7C}"/>
    <cellStyle name="Normal 9 2 3 2 2 5" xfId="2193" xr:uid="{00000000-0005-0000-0000-0000B8080000}"/>
    <cellStyle name="Normal 9 2 3 2 2 5 2" xfId="4422" xr:uid="{00000000-0005-0000-0000-00006D110000}"/>
    <cellStyle name="Normal 9 2 3 2 2 5 2 2" xfId="8644" xr:uid="{00000000-0005-0000-0000-0000EB210000}"/>
    <cellStyle name="Normal 9 2 3 2 2 5 2 2 2" xfId="18235" xr:uid="{C581FE69-5FF9-420F-9059-A5F3D3CEB8A0}"/>
    <cellStyle name="Normal 9 2 3 2 2 5 2 3" xfId="14014" xr:uid="{FE5043C1-35F9-4248-B030-6E86734040C3}"/>
    <cellStyle name="Normal 9 2 3 2 2 5 3" xfId="6499" xr:uid="{00000000-0005-0000-0000-00008A190000}"/>
    <cellStyle name="Normal 9 2 3 2 2 5 3 2" xfId="16090" xr:uid="{A670B4F1-0956-4E2C-AEA5-143C5A21EFD3}"/>
    <cellStyle name="Normal 9 2 3 2 2 5 4" xfId="11785" xr:uid="{24E0520E-327F-483F-B1E8-59E4862D6C49}"/>
    <cellStyle name="Normal 9 2 3 2 2 6" xfId="2629" xr:uid="{00000000-0005-0000-0000-00006C0A0000}"/>
    <cellStyle name="Normal 9 2 3 2 2 6 2" xfId="6912" xr:uid="{00000000-0005-0000-0000-0000271B0000}"/>
    <cellStyle name="Normal 9 2 3 2 2 6 2 2" xfId="16503" xr:uid="{07DD1EB6-52D3-447C-9D50-CDF4908AB9D0}"/>
    <cellStyle name="Normal 9 2 3 2 2 6 3" xfId="12221" xr:uid="{2985CCCD-0A26-4B7B-A2CB-C8CD16CEEA97}"/>
    <cellStyle name="Normal 9 2 3 2 2 7" xfId="4847" xr:uid="{00000000-0005-0000-0000-000016130000}"/>
    <cellStyle name="Normal 9 2 3 2 2 7 2" xfId="14438" xr:uid="{C1F49F1C-0765-488F-9439-E4E9909777D1}"/>
    <cellStyle name="Normal 9 2 3 2 2 8" xfId="9109" xr:uid="{00000000-0005-0000-0000-0000BC230000}"/>
    <cellStyle name="Normal 9 2 3 2 2 9" xfId="10084" xr:uid="{B8DCDE24-7D44-4703-8C46-A73F2A036D60}"/>
    <cellStyle name="Normal 9 2 3 2 3" xfId="949" xr:uid="{00000000-0005-0000-0000-0000DC030000}"/>
    <cellStyle name="Normal 9 2 3 2 3 2" xfId="3182" xr:uid="{00000000-0005-0000-0000-0000950C0000}"/>
    <cellStyle name="Normal 9 2 3 2 3 2 2" xfId="7404" xr:uid="{00000000-0005-0000-0000-0000131D0000}"/>
    <cellStyle name="Normal 9 2 3 2 3 2 2 2" xfId="16995" xr:uid="{6C080B01-8745-4EFA-9B18-CA964C0FE9BD}"/>
    <cellStyle name="Normal 9 2 3 2 3 2 3" xfId="12774" xr:uid="{CDC0B7E0-C589-495A-BBE7-3D5BD82E31ED}"/>
    <cellStyle name="Normal 9 2 3 2 3 3" xfId="5259" xr:uid="{00000000-0005-0000-0000-0000B2140000}"/>
    <cellStyle name="Normal 9 2 3 2 3 3 2" xfId="14850" xr:uid="{F48A4386-5CAF-4B60-983E-5BB74D5CF03D}"/>
    <cellStyle name="Normal 9 2 3 2 3 4" xfId="9327" xr:uid="{00000000-0005-0000-0000-000096240000}"/>
    <cellStyle name="Normal 9 2 3 2 3 5" xfId="10542" xr:uid="{3D5F3B2F-3A58-422D-AE51-F574AFC214AF}"/>
    <cellStyle name="Normal 9 2 3 2 4" xfId="1365" xr:uid="{00000000-0005-0000-0000-00007C050000}"/>
    <cellStyle name="Normal 9 2 3 2 4 2" xfId="3595" xr:uid="{00000000-0005-0000-0000-0000320E0000}"/>
    <cellStyle name="Normal 9 2 3 2 4 2 2" xfId="7817" xr:uid="{00000000-0005-0000-0000-0000B01E0000}"/>
    <cellStyle name="Normal 9 2 3 2 4 2 2 2" xfId="17408" xr:uid="{31A3E5C2-4A32-475F-B18D-B9660B101DFA}"/>
    <cellStyle name="Normal 9 2 3 2 4 2 3" xfId="13187" xr:uid="{825E7E5C-DF72-47DC-BCB0-D6811AA43B0B}"/>
    <cellStyle name="Normal 9 2 3 2 4 3" xfId="5672" xr:uid="{00000000-0005-0000-0000-00004F160000}"/>
    <cellStyle name="Normal 9 2 3 2 4 3 2" xfId="15263" xr:uid="{9813EC58-4203-45CB-8139-662BFC1E93F9}"/>
    <cellStyle name="Normal 9 2 3 2 4 4" xfId="10958" xr:uid="{EB88DA12-DDEF-4938-80FF-585BE6044F3F}"/>
    <cellStyle name="Normal 9 2 3 2 5" xfId="1778" xr:uid="{00000000-0005-0000-0000-000019070000}"/>
    <cellStyle name="Normal 9 2 3 2 5 2" xfId="4008" xr:uid="{00000000-0005-0000-0000-0000CF0F0000}"/>
    <cellStyle name="Normal 9 2 3 2 5 2 2" xfId="8230" xr:uid="{00000000-0005-0000-0000-00004D200000}"/>
    <cellStyle name="Normal 9 2 3 2 5 2 2 2" xfId="17821" xr:uid="{DC66FC37-78F4-4F2A-8B64-BEED86FFC796}"/>
    <cellStyle name="Normal 9 2 3 2 5 2 3" xfId="13600" xr:uid="{6CB1AF71-154D-4D32-895C-0B94022E3AB5}"/>
    <cellStyle name="Normal 9 2 3 2 5 3" xfId="6085" xr:uid="{00000000-0005-0000-0000-0000EC170000}"/>
    <cellStyle name="Normal 9 2 3 2 5 3 2" xfId="15676" xr:uid="{1C6CB8BD-F103-4C42-A77E-3F72693C940A}"/>
    <cellStyle name="Normal 9 2 3 2 5 4" xfId="11371" xr:uid="{E4EC3AFC-E048-4148-A1B9-FC0B732ACBAE}"/>
    <cellStyle name="Normal 9 2 3 2 6" xfId="2192" xr:uid="{00000000-0005-0000-0000-0000B7080000}"/>
    <cellStyle name="Normal 9 2 3 2 6 2" xfId="4421" xr:uid="{00000000-0005-0000-0000-00006C110000}"/>
    <cellStyle name="Normal 9 2 3 2 6 2 2" xfId="8643" xr:uid="{00000000-0005-0000-0000-0000EA210000}"/>
    <cellStyle name="Normal 9 2 3 2 6 2 2 2" xfId="18234" xr:uid="{C349D9F4-EB8C-4590-8DB3-13193ABEB0D6}"/>
    <cellStyle name="Normal 9 2 3 2 6 2 3" xfId="14013" xr:uid="{359E7B33-D83C-471E-9A2F-EC285A28896D}"/>
    <cellStyle name="Normal 9 2 3 2 6 3" xfId="6498" xr:uid="{00000000-0005-0000-0000-000089190000}"/>
    <cellStyle name="Normal 9 2 3 2 6 3 2" xfId="16089" xr:uid="{48EE2C5A-77C8-4BB4-A465-BA10DA65F77B}"/>
    <cellStyle name="Normal 9 2 3 2 6 4" xfId="11784" xr:uid="{E7922215-A17E-489D-B43D-488C37949C0E}"/>
    <cellStyle name="Normal 9 2 3 2 7" xfId="2628" xr:uid="{00000000-0005-0000-0000-00006B0A0000}"/>
    <cellStyle name="Normal 9 2 3 2 7 2" xfId="6911" xr:uid="{00000000-0005-0000-0000-0000261B0000}"/>
    <cellStyle name="Normal 9 2 3 2 7 2 2" xfId="16502" xr:uid="{256B768F-B9D1-4C5C-8583-2939D80223D6}"/>
    <cellStyle name="Normal 9 2 3 2 7 3" xfId="12220" xr:uid="{1B6B3F4B-4185-4E92-9B79-2075E9E2FC82}"/>
    <cellStyle name="Normal 9 2 3 2 8" xfId="4846" xr:uid="{00000000-0005-0000-0000-000015130000}"/>
    <cellStyle name="Normal 9 2 3 2 8 2" xfId="14437" xr:uid="{615A904C-B5C5-4E99-866F-8FDCBAC70A26}"/>
    <cellStyle name="Normal 9 2 3 2 9" xfId="8902" xr:uid="{00000000-0005-0000-0000-0000ED220000}"/>
    <cellStyle name="Normal 9 2 3 3" xfId="487" xr:uid="{00000000-0005-0000-0000-00000B020000}"/>
    <cellStyle name="Normal 9 2 3 3 2" xfId="951" xr:uid="{00000000-0005-0000-0000-0000DE030000}"/>
    <cellStyle name="Normal 9 2 3 3 2 2" xfId="3184" xr:uid="{00000000-0005-0000-0000-0000970C0000}"/>
    <cellStyle name="Normal 9 2 3 3 2 2 2" xfId="7406" xr:uid="{00000000-0005-0000-0000-0000151D0000}"/>
    <cellStyle name="Normal 9 2 3 3 2 2 2 2" xfId="16997" xr:uid="{FB281954-0A07-4879-8252-F0F0A87F2C3B}"/>
    <cellStyle name="Normal 9 2 3 3 2 2 3" xfId="12776" xr:uid="{5A3A92A4-6D94-47C1-8080-61DCFD6C597C}"/>
    <cellStyle name="Normal 9 2 3 3 2 3" xfId="5261" xr:uid="{00000000-0005-0000-0000-0000B4140000}"/>
    <cellStyle name="Normal 9 2 3 3 2 3 2" xfId="14852" xr:uid="{36988C07-3F27-498A-80F3-5092C89557C2}"/>
    <cellStyle name="Normal 9 2 3 3 2 4" xfId="9431" xr:uid="{00000000-0005-0000-0000-0000FE240000}"/>
    <cellStyle name="Normal 9 2 3 3 2 5" xfId="10544" xr:uid="{B76A03C3-7DDA-4B06-BCB8-82C81B9B67EA}"/>
    <cellStyle name="Normal 9 2 3 3 3" xfId="1367" xr:uid="{00000000-0005-0000-0000-00007E050000}"/>
    <cellStyle name="Normal 9 2 3 3 3 2" xfId="3597" xr:uid="{00000000-0005-0000-0000-0000340E0000}"/>
    <cellStyle name="Normal 9 2 3 3 3 2 2" xfId="7819" xr:uid="{00000000-0005-0000-0000-0000B21E0000}"/>
    <cellStyle name="Normal 9 2 3 3 3 2 2 2" xfId="17410" xr:uid="{45C042C5-1520-4CE0-ACC4-94EF93264D32}"/>
    <cellStyle name="Normal 9 2 3 3 3 2 3" xfId="13189" xr:uid="{0DE37B71-4E5D-45C1-9CD7-78D99A1B124A}"/>
    <cellStyle name="Normal 9 2 3 3 3 3" xfId="5674" xr:uid="{00000000-0005-0000-0000-000051160000}"/>
    <cellStyle name="Normal 9 2 3 3 3 3 2" xfId="15265" xr:uid="{7C03AD38-A52F-4455-BEB9-190BF020CB79}"/>
    <cellStyle name="Normal 9 2 3 3 3 4" xfId="10960" xr:uid="{04FB970B-1FDD-4B1A-94B5-6BF99C5D99C2}"/>
    <cellStyle name="Normal 9 2 3 3 4" xfId="1780" xr:uid="{00000000-0005-0000-0000-00001B070000}"/>
    <cellStyle name="Normal 9 2 3 3 4 2" xfId="4010" xr:uid="{00000000-0005-0000-0000-0000D10F0000}"/>
    <cellStyle name="Normal 9 2 3 3 4 2 2" xfId="8232" xr:uid="{00000000-0005-0000-0000-00004F200000}"/>
    <cellStyle name="Normal 9 2 3 3 4 2 2 2" xfId="17823" xr:uid="{3468FF28-DC68-48BF-9E76-BB896B187000}"/>
    <cellStyle name="Normal 9 2 3 3 4 2 3" xfId="13602" xr:uid="{20C15DB6-4F32-46F4-9B40-2578425895AC}"/>
    <cellStyle name="Normal 9 2 3 3 4 3" xfId="6087" xr:uid="{00000000-0005-0000-0000-0000EE170000}"/>
    <cellStyle name="Normal 9 2 3 3 4 3 2" xfId="15678" xr:uid="{47CE55A6-2F60-4B4C-9DAF-38238A3FF0C5}"/>
    <cellStyle name="Normal 9 2 3 3 4 4" xfId="11373" xr:uid="{FBC5BE12-DC2B-41F0-A5AD-AA437A09F627}"/>
    <cellStyle name="Normal 9 2 3 3 5" xfId="2194" xr:uid="{00000000-0005-0000-0000-0000B9080000}"/>
    <cellStyle name="Normal 9 2 3 3 5 2" xfId="4423" xr:uid="{00000000-0005-0000-0000-00006E110000}"/>
    <cellStyle name="Normal 9 2 3 3 5 2 2" xfId="8645" xr:uid="{00000000-0005-0000-0000-0000EC210000}"/>
    <cellStyle name="Normal 9 2 3 3 5 2 2 2" xfId="18236" xr:uid="{A7BF2123-2D28-4F8F-9CDF-C5934DEAC1EE}"/>
    <cellStyle name="Normal 9 2 3 3 5 2 3" xfId="14015" xr:uid="{3DC026ED-B8BD-4C7F-BF1F-71148695C915}"/>
    <cellStyle name="Normal 9 2 3 3 5 3" xfId="6500" xr:uid="{00000000-0005-0000-0000-00008B190000}"/>
    <cellStyle name="Normal 9 2 3 3 5 3 2" xfId="16091" xr:uid="{AB078E39-6B22-4EF2-8C26-549F00F8D8B8}"/>
    <cellStyle name="Normal 9 2 3 3 5 4" xfId="11786" xr:uid="{72D7B93E-623D-4631-8999-3165C1B9DBD2}"/>
    <cellStyle name="Normal 9 2 3 3 6" xfId="2630" xr:uid="{00000000-0005-0000-0000-00006D0A0000}"/>
    <cellStyle name="Normal 9 2 3 3 6 2" xfId="6913" xr:uid="{00000000-0005-0000-0000-0000281B0000}"/>
    <cellStyle name="Normal 9 2 3 3 6 2 2" xfId="16504" xr:uid="{F66B09C4-0CAF-476B-9CBF-F539441F4AC2}"/>
    <cellStyle name="Normal 9 2 3 3 6 3" xfId="12222" xr:uid="{ADD956E9-E9B2-49B2-B329-427A4D6782E6}"/>
    <cellStyle name="Normal 9 2 3 3 7" xfId="4848" xr:uid="{00000000-0005-0000-0000-000017130000}"/>
    <cellStyle name="Normal 9 2 3 3 7 2" xfId="14439" xr:uid="{16CF599B-6BB8-4F87-BDA3-B6CF08FF56D3}"/>
    <cellStyle name="Normal 9 2 3 3 8" xfId="9006" xr:uid="{00000000-0005-0000-0000-000055230000}"/>
    <cellStyle name="Normal 9 2 3 3 9" xfId="10085" xr:uid="{F435BEAC-A481-4222-8AD0-A0E5EEEA5CB5}"/>
    <cellStyle name="Normal 9 2 3 4" xfId="948" xr:uid="{00000000-0005-0000-0000-0000DB030000}"/>
    <cellStyle name="Normal 9 2 3 4 2" xfId="3181" xr:uid="{00000000-0005-0000-0000-0000940C0000}"/>
    <cellStyle name="Normal 9 2 3 4 2 2" xfId="7403" xr:uid="{00000000-0005-0000-0000-0000121D0000}"/>
    <cellStyle name="Normal 9 2 3 4 2 2 2" xfId="16994" xr:uid="{FD86F84F-7BF4-429E-BBCB-09D1D5168A42}"/>
    <cellStyle name="Normal 9 2 3 4 2 3" xfId="12773" xr:uid="{2F8A1CFA-A956-4568-957C-F77370E09309}"/>
    <cellStyle name="Normal 9 2 3 4 3" xfId="5258" xr:uid="{00000000-0005-0000-0000-0000B1140000}"/>
    <cellStyle name="Normal 9 2 3 4 3 2" xfId="14849" xr:uid="{99228E77-3134-4650-83DF-2802BD728876}"/>
    <cellStyle name="Normal 9 2 3 4 4" xfId="9224" xr:uid="{00000000-0005-0000-0000-00002F240000}"/>
    <cellStyle name="Normal 9 2 3 4 5" xfId="10541" xr:uid="{087DEAB3-BB58-4B90-9885-7516ED20C004}"/>
    <cellStyle name="Normal 9 2 3 5" xfId="1364" xr:uid="{00000000-0005-0000-0000-00007B050000}"/>
    <cellStyle name="Normal 9 2 3 5 2" xfId="3594" xr:uid="{00000000-0005-0000-0000-0000310E0000}"/>
    <cellStyle name="Normal 9 2 3 5 2 2" xfId="7816" xr:uid="{00000000-0005-0000-0000-0000AF1E0000}"/>
    <cellStyle name="Normal 9 2 3 5 2 2 2" xfId="17407" xr:uid="{CCEC2DA6-0140-4721-B902-6AE9C21675D1}"/>
    <cellStyle name="Normal 9 2 3 5 2 3" xfId="13186" xr:uid="{BE3BE37B-A30A-4036-B559-750139624456}"/>
    <cellStyle name="Normal 9 2 3 5 3" xfId="5671" xr:uid="{00000000-0005-0000-0000-00004E160000}"/>
    <cellStyle name="Normal 9 2 3 5 3 2" xfId="15262" xr:uid="{200BD722-1386-470C-97DE-5B4793051EE9}"/>
    <cellStyle name="Normal 9 2 3 5 4" xfId="10957" xr:uid="{82A52ADD-D64C-4707-AFA4-99B364EF2D57}"/>
    <cellStyle name="Normal 9 2 3 6" xfId="1777" xr:uid="{00000000-0005-0000-0000-000018070000}"/>
    <cellStyle name="Normal 9 2 3 6 2" xfId="4007" xr:uid="{00000000-0005-0000-0000-0000CE0F0000}"/>
    <cellStyle name="Normal 9 2 3 6 2 2" xfId="8229" xr:uid="{00000000-0005-0000-0000-00004C200000}"/>
    <cellStyle name="Normal 9 2 3 6 2 2 2" xfId="17820" xr:uid="{3317283C-65E8-4F45-8492-E73BE7BA64A9}"/>
    <cellStyle name="Normal 9 2 3 6 2 3" xfId="13599" xr:uid="{8D0422DD-3367-4A4B-B35D-60C12C55766D}"/>
    <cellStyle name="Normal 9 2 3 6 3" xfId="6084" xr:uid="{00000000-0005-0000-0000-0000EB170000}"/>
    <cellStyle name="Normal 9 2 3 6 3 2" xfId="15675" xr:uid="{B164E96F-4EF8-4512-8E65-E4D1E8886B0A}"/>
    <cellStyle name="Normal 9 2 3 6 4" xfId="11370" xr:uid="{D8717277-BA0B-4312-BD4C-F4034142F035}"/>
    <cellStyle name="Normal 9 2 3 7" xfId="2191" xr:uid="{00000000-0005-0000-0000-0000B6080000}"/>
    <cellStyle name="Normal 9 2 3 7 2" xfId="4420" xr:uid="{00000000-0005-0000-0000-00006B110000}"/>
    <cellStyle name="Normal 9 2 3 7 2 2" xfId="8642" xr:uid="{00000000-0005-0000-0000-0000E9210000}"/>
    <cellStyle name="Normal 9 2 3 7 2 2 2" xfId="18233" xr:uid="{AB175BD3-A4F4-4D6A-AAFF-2768258D2B5D}"/>
    <cellStyle name="Normal 9 2 3 7 2 3" xfId="14012" xr:uid="{99FE6BF0-D2EC-48EA-B5DF-FDF5E8317D68}"/>
    <cellStyle name="Normal 9 2 3 7 3" xfId="6497" xr:uid="{00000000-0005-0000-0000-000088190000}"/>
    <cellStyle name="Normal 9 2 3 7 3 2" xfId="16088" xr:uid="{B3339704-1762-4374-B9CD-A06F3483E4DB}"/>
    <cellStyle name="Normal 9 2 3 7 4" xfId="11783" xr:uid="{CA56F1E2-F239-4F2F-A57D-5E0E7E99CAE2}"/>
    <cellStyle name="Normal 9 2 3 8" xfId="2627" xr:uid="{00000000-0005-0000-0000-00006A0A0000}"/>
    <cellStyle name="Normal 9 2 3 8 2" xfId="6910" xr:uid="{00000000-0005-0000-0000-0000251B0000}"/>
    <cellStyle name="Normal 9 2 3 8 2 2" xfId="16501" xr:uid="{B92EC42E-31F2-4F69-827D-C9F4AB38B4CF}"/>
    <cellStyle name="Normal 9 2 3 8 3" xfId="12219" xr:uid="{5E978A04-8759-482E-956B-8AA531E0161A}"/>
    <cellStyle name="Normal 9 2 3 9" xfId="4845" xr:uid="{00000000-0005-0000-0000-000014130000}"/>
    <cellStyle name="Normal 9 2 3 9 2" xfId="14436" xr:uid="{283BF96C-E4B9-49A2-9D8F-0C103AFC7B44}"/>
    <cellStyle name="Normal 9 2 4" xfId="488" xr:uid="{00000000-0005-0000-0000-00000C020000}"/>
    <cellStyle name="Normal 9 2 4 10" xfId="10086" xr:uid="{AE5E6C77-0098-42B9-84A7-F03807E7BDE9}"/>
    <cellStyle name="Normal 9 2 4 2" xfId="489" xr:uid="{00000000-0005-0000-0000-00000D020000}"/>
    <cellStyle name="Normal 9 2 4 2 2" xfId="953" xr:uid="{00000000-0005-0000-0000-0000E0030000}"/>
    <cellStyle name="Normal 9 2 4 2 2 2" xfId="3186" xr:uid="{00000000-0005-0000-0000-0000990C0000}"/>
    <cellStyle name="Normal 9 2 4 2 2 2 2" xfId="7408" xr:uid="{00000000-0005-0000-0000-0000171D0000}"/>
    <cellStyle name="Normal 9 2 4 2 2 2 2 2" xfId="16999" xr:uid="{0834FA87-B724-4F68-94DF-F3F711F70F50}"/>
    <cellStyle name="Normal 9 2 4 2 2 2 3" xfId="12778" xr:uid="{4650A459-DB7A-4328-A56D-B58B1AC43FCF}"/>
    <cellStyle name="Normal 9 2 4 2 2 3" xfId="5263" xr:uid="{00000000-0005-0000-0000-0000B6140000}"/>
    <cellStyle name="Normal 9 2 4 2 2 3 2" xfId="14854" xr:uid="{0A0A7781-65CD-4F90-A1C7-8D52E300D17B}"/>
    <cellStyle name="Normal 9 2 4 2 2 4" xfId="9450" xr:uid="{00000000-0005-0000-0000-000011250000}"/>
    <cellStyle name="Normal 9 2 4 2 2 5" xfId="10546" xr:uid="{F4858253-0236-4551-AFE3-35F45B95FCD3}"/>
    <cellStyle name="Normal 9 2 4 2 3" xfId="1369" xr:uid="{00000000-0005-0000-0000-000080050000}"/>
    <cellStyle name="Normal 9 2 4 2 3 2" xfId="3599" xr:uid="{00000000-0005-0000-0000-0000360E0000}"/>
    <cellStyle name="Normal 9 2 4 2 3 2 2" xfId="7821" xr:uid="{00000000-0005-0000-0000-0000B41E0000}"/>
    <cellStyle name="Normal 9 2 4 2 3 2 2 2" xfId="17412" xr:uid="{BD4F853F-EE72-4F9B-A03F-9F8514731E48}"/>
    <cellStyle name="Normal 9 2 4 2 3 2 3" xfId="13191" xr:uid="{95FD763A-9984-43CF-BEC0-A0197D25152A}"/>
    <cellStyle name="Normal 9 2 4 2 3 3" xfId="5676" xr:uid="{00000000-0005-0000-0000-000053160000}"/>
    <cellStyle name="Normal 9 2 4 2 3 3 2" xfId="15267" xr:uid="{1DF0B51D-067D-4BCB-A27F-7FB6C5DC060C}"/>
    <cellStyle name="Normal 9 2 4 2 3 4" xfId="10962" xr:uid="{AB41CEBE-C89D-447B-B9E3-D2AC0958AD77}"/>
    <cellStyle name="Normal 9 2 4 2 4" xfId="1782" xr:uid="{00000000-0005-0000-0000-00001D070000}"/>
    <cellStyle name="Normal 9 2 4 2 4 2" xfId="4012" xr:uid="{00000000-0005-0000-0000-0000D30F0000}"/>
    <cellStyle name="Normal 9 2 4 2 4 2 2" xfId="8234" xr:uid="{00000000-0005-0000-0000-000051200000}"/>
    <cellStyle name="Normal 9 2 4 2 4 2 2 2" xfId="17825" xr:uid="{6BDC3087-14CF-4CA6-9816-D39C87562D2C}"/>
    <cellStyle name="Normal 9 2 4 2 4 2 3" xfId="13604" xr:uid="{A89E9251-F5A7-4C4C-BEE2-AF1A4F8CBE8D}"/>
    <cellStyle name="Normal 9 2 4 2 4 3" xfId="6089" xr:uid="{00000000-0005-0000-0000-0000F0170000}"/>
    <cellStyle name="Normal 9 2 4 2 4 3 2" xfId="15680" xr:uid="{344C09CA-C9E5-408D-BC38-0C27F2C4F5CD}"/>
    <cellStyle name="Normal 9 2 4 2 4 4" xfId="11375" xr:uid="{70446314-FAC7-4E54-AB28-AD6039A50EA4}"/>
    <cellStyle name="Normal 9 2 4 2 5" xfId="2196" xr:uid="{00000000-0005-0000-0000-0000BB080000}"/>
    <cellStyle name="Normal 9 2 4 2 5 2" xfId="4425" xr:uid="{00000000-0005-0000-0000-000070110000}"/>
    <cellStyle name="Normal 9 2 4 2 5 2 2" xfId="8647" xr:uid="{00000000-0005-0000-0000-0000EE210000}"/>
    <cellStyle name="Normal 9 2 4 2 5 2 2 2" xfId="18238" xr:uid="{13D05546-4DB3-4211-833E-20349ED69E17}"/>
    <cellStyle name="Normal 9 2 4 2 5 2 3" xfId="14017" xr:uid="{EBCCB22C-2CD4-48D3-9249-5FD687D38323}"/>
    <cellStyle name="Normal 9 2 4 2 5 3" xfId="6502" xr:uid="{00000000-0005-0000-0000-00008D190000}"/>
    <cellStyle name="Normal 9 2 4 2 5 3 2" xfId="16093" xr:uid="{AEF1E3DB-F2D9-4DE3-A24A-CEC31E7E91B3}"/>
    <cellStyle name="Normal 9 2 4 2 5 4" xfId="11788" xr:uid="{B9559EEB-2428-431E-8AEB-9FC49ACD162F}"/>
    <cellStyle name="Normal 9 2 4 2 6" xfId="2632" xr:uid="{00000000-0005-0000-0000-00006F0A0000}"/>
    <cellStyle name="Normal 9 2 4 2 6 2" xfId="6915" xr:uid="{00000000-0005-0000-0000-00002A1B0000}"/>
    <cellStyle name="Normal 9 2 4 2 6 2 2" xfId="16506" xr:uid="{101C4EAB-C4C5-4149-8AF4-372C23C9F3DC}"/>
    <cellStyle name="Normal 9 2 4 2 6 3" xfId="12224" xr:uid="{888250C7-C2DB-4CA0-8951-1E8D6597DCE1}"/>
    <cellStyle name="Normal 9 2 4 2 7" xfId="4850" xr:uid="{00000000-0005-0000-0000-000019130000}"/>
    <cellStyle name="Normal 9 2 4 2 7 2" xfId="14441" xr:uid="{8EDE5E57-B409-4538-BE82-D20B2076482B}"/>
    <cellStyle name="Normal 9 2 4 2 8" xfId="9025" xr:uid="{00000000-0005-0000-0000-000068230000}"/>
    <cellStyle name="Normal 9 2 4 2 9" xfId="10087" xr:uid="{54DC1AC2-8699-44F9-82B3-D3B71D6CA043}"/>
    <cellStyle name="Normal 9 2 4 3" xfId="952" xr:uid="{00000000-0005-0000-0000-0000DF030000}"/>
    <cellStyle name="Normal 9 2 4 3 2" xfId="3185" xr:uid="{00000000-0005-0000-0000-0000980C0000}"/>
    <cellStyle name="Normal 9 2 4 3 2 2" xfId="7407" xr:uid="{00000000-0005-0000-0000-0000161D0000}"/>
    <cellStyle name="Normal 9 2 4 3 2 2 2" xfId="16998" xr:uid="{440CEEC5-59DD-433F-9607-F27F89B2FA55}"/>
    <cellStyle name="Normal 9 2 4 3 2 3" xfId="12777" xr:uid="{1C860750-B0F2-4E30-A4CE-1A232B5AC531}"/>
    <cellStyle name="Normal 9 2 4 3 3" xfId="5262" xr:uid="{00000000-0005-0000-0000-0000B5140000}"/>
    <cellStyle name="Normal 9 2 4 3 3 2" xfId="14853" xr:uid="{3F4BCB34-2889-40E8-80AA-37D1CFB9AE82}"/>
    <cellStyle name="Normal 9 2 4 3 4" xfId="9243" xr:uid="{00000000-0005-0000-0000-000042240000}"/>
    <cellStyle name="Normal 9 2 4 3 5" xfId="10545" xr:uid="{1B907D1E-C885-467D-B71E-9388E6856A20}"/>
    <cellStyle name="Normal 9 2 4 4" xfId="1368" xr:uid="{00000000-0005-0000-0000-00007F050000}"/>
    <cellStyle name="Normal 9 2 4 4 2" xfId="3598" xr:uid="{00000000-0005-0000-0000-0000350E0000}"/>
    <cellStyle name="Normal 9 2 4 4 2 2" xfId="7820" xr:uid="{00000000-0005-0000-0000-0000B31E0000}"/>
    <cellStyle name="Normal 9 2 4 4 2 2 2" xfId="17411" xr:uid="{23C4E6AE-70DE-4FAF-BCDE-5EDF86F43C31}"/>
    <cellStyle name="Normal 9 2 4 4 2 3" xfId="13190" xr:uid="{0C5BD6A1-8AB3-4C6D-94CB-B65E4050E7AD}"/>
    <cellStyle name="Normal 9 2 4 4 3" xfId="5675" xr:uid="{00000000-0005-0000-0000-000052160000}"/>
    <cellStyle name="Normal 9 2 4 4 3 2" xfId="15266" xr:uid="{A5A91BFD-FF0D-4C48-ACC8-1802539615C8}"/>
    <cellStyle name="Normal 9 2 4 4 4" xfId="10961" xr:uid="{16145849-02A6-4738-8A7E-BB8AB30D65BA}"/>
    <cellStyle name="Normal 9 2 4 5" xfId="1781" xr:uid="{00000000-0005-0000-0000-00001C070000}"/>
    <cellStyle name="Normal 9 2 4 5 2" xfId="4011" xr:uid="{00000000-0005-0000-0000-0000D20F0000}"/>
    <cellStyle name="Normal 9 2 4 5 2 2" xfId="8233" xr:uid="{00000000-0005-0000-0000-000050200000}"/>
    <cellStyle name="Normal 9 2 4 5 2 2 2" xfId="17824" xr:uid="{E503409B-76B4-4EDE-9244-04A9DDA4B85C}"/>
    <cellStyle name="Normal 9 2 4 5 2 3" xfId="13603" xr:uid="{0FC55D9C-F1B8-4DBF-9D37-22D929605061}"/>
    <cellStyle name="Normal 9 2 4 5 3" xfId="6088" xr:uid="{00000000-0005-0000-0000-0000EF170000}"/>
    <cellStyle name="Normal 9 2 4 5 3 2" xfId="15679" xr:uid="{0F87F5C0-184E-4336-A49C-57CCAD42BE15}"/>
    <cellStyle name="Normal 9 2 4 5 4" xfId="11374" xr:uid="{EFF1BD3B-1DB2-421F-9E20-B0BEFD855386}"/>
    <cellStyle name="Normal 9 2 4 6" xfId="2195" xr:uid="{00000000-0005-0000-0000-0000BA080000}"/>
    <cellStyle name="Normal 9 2 4 6 2" xfId="4424" xr:uid="{00000000-0005-0000-0000-00006F110000}"/>
    <cellStyle name="Normal 9 2 4 6 2 2" xfId="8646" xr:uid="{00000000-0005-0000-0000-0000ED210000}"/>
    <cellStyle name="Normal 9 2 4 6 2 2 2" xfId="18237" xr:uid="{C5B17285-2E60-4841-A9D5-6062C1038E7C}"/>
    <cellStyle name="Normal 9 2 4 6 2 3" xfId="14016" xr:uid="{10AE47FA-E3BF-4D5D-9F78-2D44476F5D34}"/>
    <cellStyle name="Normal 9 2 4 6 3" xfId="6501" xr:uid="{00000000-0005-0000-0000-00008C190000}"/>
    <cellStyle name="Normal 9 2 4 6 3 2" xfId="16092" xr:uid="{BD1D03F2-4D6A-4078-A683-6FA67DD64086}"/>
    <cellStyle name="Normal 9 2 4 6 4" xfId="11787" xr:uid="{EA6E7596-7284-44C6-B0D9-AB3686813454}"/>
    <cellStyle name="Normal 9 2 4 7" xfId="2631" xr:uid="{00000000-0005-0000-0000-00006E0A0000}"/>
    <cellStyle name="Normal 9 2 4 7 2" xfId="6914" xr:uid="{00000000-0005-0000-0000-0000291B0000}"/>
    <cellStyle name="Normal 9 2 4 7 2 2" xfId="16505" xr:uid="{C559B842-AC55-47D9-8F5D-85809F435E88}"/>
    <cellStyle name="Normal 9 2 4 7 3" xfId="12223" xr:uid="{D95C2BFF-D7C2-4A99-AFF6-8A1BF5787278}"/>
    <cellStyle name="Normal 9 2 4 8" xfId="4849" xr:uid="{00000000-0005-0000-0000-000018130000}"/>
    <cellStyle name="Normal 9 2 4 8 2" xfId="14440" xr:uid="{0DE312E6-0C56-426C-B27B-2EDAE336A47A}"/>
    <cellStyle name="Normal 9 2 4 9" xfId="8818" xr:uid="{00000000-0005-0000-0000-000099220000}"/>
    <cellStyle name="Normal 9 2 5" xfId="490" xr:uid="{00000000-0005-0000-0000-00000E020000}"/>
    <cellStyle name="Normal 9 2 5 2" xfId="954" xr:uid="{00000000-0005-0000-0000-0000E1030000}"/>
    <cellStyle name="Normal 9 2 5 2 2" xfId="3187" xr:uid="{00000000-0005-0000-0000-00009A0C0000}"/>
    <cellStyle name="Normal 9 2 5 2 2 2" xfId="7409" xr:uid="{00000000-0005-0000-0000-0000181D0000}"/>
    <cellStyle name="Normal 9 2 5 2 2 2 2" xfId="17000" xr:uid="{14E56348-F0FC-4777-970B-324908333938}"/>
    <cellStyle name="Normal 9 2 5 2 2 3" xfId="12779" xr:uid="{BC77F56E-EFC6-4116-8BCF-CBEDA93BC0D0}"/>
    <cellStyle name="Normal 9 2 5 2 3" xfId="5264" xr:uid="{00000000-0005-0000-0000-0000B7140000}"/>
    <cellStyle name="Normal 9 2 5 2 3 2" xfId="14855" xr:uid="{28CC02B9-A0B6-4BD7-937B-834DE76CF4EC}"/>
    <cellStyle name="Normal 9 2 5 2 4" xfId="9359" xr:uid="{00000000-0005-0000-0000-0000B6240000}"/>
    <cellStyle name="Normal 9 2 5 2 5" xfId="10547" xr:uid="{6BC23706-7DA8-45B8-B0F9-32C1746E0110}"/>
    <cellStyle name="Normal 9 2 5 3" xfId="1370" xr:uid="{00000000-0005-0000-0000-000081050000}"/>
    <cellStyle name="Normal 9 2 5 3 2" xfId="3600" xr:uid="{00000000-0005-0000-0000-0000370E0000}"/>
    <cellStyle name="Normal 9 2 5 3 2 2" xfId="7822" xr:uid="{00000000-0005-0000-0000-0000B51E0000}"/>
    <cellStyle name="Normal 9 2 5 3 2 2 2" xfId="17413" xr:uid="{D0E0B0C4-CDC9-46AE-8ACA-EC9CF2E67FD2}"/>
    <cellStyle name="Normal 9 2 5 3 2 3" xfId="13192" xr:uid="{946EB536-2B53-482A-902C-0100B4045815}"/>
    <cellStyle name="Normal 9 2 5 3 3" xfId="5677" xr:uid="{00000000-0005-0000-0000-000054160000}"/>
    <cellStyle name="Normal 9 2 5 3 3 2" xfId="15268" xr:uid="{1B5BBC0E-8439-40A8-96F4-C212F7A4E7FE}"/>
    <cellStyle name="Normal 9 2 5 3 4" xfId="10963" xr:uid="{E79FB78F-B7C1-4858-8B9A-3AA6440BC00D}"/>
    <cellStyle name="Normal 9 2 5 4" xfId="1783" xr:uid="{00000000-0005-0000-0000-00001E070000}"/>
    <cellStyle name="Normal 9 2 5 4 2" xfId="4013" xr:uid="{00000000-0005-0000-0000-0000D40F0000}"/>
    <cellStyle name="Normal 9 2 5 4 2 2" xfId="8235" xr:uid="{00000000-0005-0000-0000-000052200000}"/>
    <cellStyle name="Normal 9 2 5 4 2 2 2" xfId="17826" xr:uid="{97C20666-0E66-4D8C-A6B6-E9CD534E4398}"/>
    <cellStyle name="Normal 9 2 5 4 2 3" xfId="13605" xr:uid="{47DA6DD1-9F28-4272-AC90-22FA98C1BAC1}"/>
    <cellStyle name="Normal 9 2 5 4 3" xfId="6090" xr:uid="{00000000-0005-0000-0000-0000F1170000}"/>
    <cellStyle name="Normal 9 2 5 4 3 2" xfId="15681" xr:uid="{642ECC54-810D-46F3-AFEB-A6F8CD5B60DA}"/>
    <cellStyle name="Normal 9 2 5 4 4" xfId="11376" xr:uid="{72319A96-49D8-49E8-9A16-6FE311B31971}"/>
    <cellStyle name="Normal 9 2 5 5" xfId="2197" xr:uid="{00000000-0005-0000-0000-0000BC080000}"/>
    <cellStyle name="Normal 9 2 5 5 2" xfId="4426" xr:uid="{00000000-0005-0000-0000-000071110000}"/>
    <cellStyle name="Normal 9 2 5 5 2 2" xfId="8648" xr:uid="{00000000-0005-0000-0000-0000EF210000}"/>
    <cellStyle name="Normal 9 2 5 5 2 2 2" xfId="18239" xr:uid="{2035F5AF-37C4-49B8-B961-2F005424F2A2}"/>
    <cellStyle name="Normal 9 2 5 5 2 3" xfId="14018" xr:uid="{64D254CC-4D34-4648-A3E2-C46FAA5A94EA}"/>
    <cellStyle name="Normal 9 2 5 5 3" xfId="6503" xr:uid="{00000000-0005-0000-0000-00008E190000}"/>
    <cellStyle name="Normal 9 2 5 5 3 2" xfId="16094" xr:uid="{581B667B-D41F-4898-8FCF-0409A262B656}"/>
    <cellStyle name="Normal 9 2 5 5 4" xfId="11789" xr:uid="{7852D774-FFD5-432B-BA14-3E32899ACE77}"/>
    <cellStyle name="Normal 9 2 5 6" xfId="2633" xr:uid="{00000000-0005-0000-0000-0000700A0000}"/>
    <cellStyle name="Normal 9 2 5 6 2" xfId="6916" xr:uid="{00000000-0005-0000-0000-00002B1B0000}"/>
    <cellStyle name="Normal 9 2 5 6 2 2" xfId="16507" xr:uid="{44B47EB2-15E7-4200-955F-845855FCF0B9}"/>
    <cellStyle name="Normal 9 2 5 6 3" xfId="12225" xr:uid="{121055EA-B8DF-4BFA-A500-6A75ADB56027}"/>
    <cellStyle name="Normal 9 2 5 7" xfId="4851" xr:uid="{00000000-0005-0000-0000-00001A130000}"/>
    <cellStyle name="Normal 9 2 5 7 2" xfId="14442" xr:uid="{C4761360-753C-4ED4-9EB5-38EE3E16FBAF}"/>
    <cellStyle name="Normal 9 2 5 8" xfId="8934" xr:uid="{00000000-0005-0000-0000-00000D230000}"/>
    <cellStyle name="Normal 9 2 5 9" xfId="10088" xr:uid="{126CBB0D-16A0-4C54-B7CE-C3D2263DC0C5}"/>
    <cellStyle name="Normal 9 2 6" xfId="939" xr:uid="{00000000-0005-0000-0000-0000D2030000}"/>
    <cellStyle name="Normal 9 2 6 2" xfId="3172" xr:uid="{00000000-0005-0000-0000-00008B0C0000}"/>
    <cellStyle name="Normal 9 2 6 2 2" xfId="7394" xr:uid="{00000000-0005-0000-0000-0000091D0000}"/>
    <cellStyle name="Normal 9 2 6 2 2 2" xfId="16985" xr:uid="{2EB2F07F-6991-435F-8DA7-4DE2A07AFAAD}"/>
    <cellStyle name="Normal 9 2 6 2 3" xfId="12764" xr:uid="{C05EF45F-CA33-4FA3-BC3E-A10093D18AF6}"/>
    <cellStyle name="Normal 9 2 6 3" xfId="5249" xr:uid="{00000000-0005-0000-0000-0000A8140000}"/>
    <cellStyle name="Normal 9 2 6 3 2" xfId="14840" xr:uid="{132FAB5A-CC63-4C64-A79F-E478B76532EA}"/>
    <cellStyle name="Normal 9 2 6 4" xfId="9137" xr:uid="{00000000-0005-0000-0000-0000D8230000}"/>
    <cellStyle name="Normal 9 2 6 5" xfId="10532" xr:uid="{F6980BC0-BA1F-45AD-9191-1686EE1E0864}"/>
    <cellStyle name="Normal 9 2 7" xfId="1355" xr:uid="{00000000-0005-0000-0000-000072050000}"/>
    <cellStyle name="Normal 9 2 7 2" xfId="3585" xr:uid="{00000000-0005-0000-0000-0000280E0000}"/>
    <cellStyle name="Normal 9 2 7 2 2" xfId="7807" xr:uid="{00000000-0005-0000-0000-0000A61E0000}"/>
    <cellStyle name="Normal 9 2 7 2 2 2" xfId="17398" xr:uid="{31C8B7AA-AB84-434C-A810-6A4D57473BA4}"/>
    <cellStyle name="Normal 9 2 7 2 3" xfId="13177" xr:uid="{22B17609-B9BC-41CC-943E-8BBAB2FC6F48}"/>
    <cellStyle name="Normal 9 2 7 3" xfId="5662" xr:uid="{00000000-0005-0000-0000-000045160000}"/>
    <cellStyle name="Normal 9 2 7 3 2" xfId="15253" xr:uid="{4E8D7DD8-DC3E-4DCF-AF0C-B6AAE808FD35}"/>
    <cellStyle name="Normal 9 2 7 4" xfId="10948" xr:uid="{7053D2EB-0D0E-40C7-942E-169A71B1E75A}"/>
    <cellStyle name="Normal 9 2 8" xfId="1768" xr:uid="{00000000-0005-0000-0000-00000F070000}"/>
    <cellStyle name="Normal 9 2 8 2" xfId="3998" xr:uid="{00000000-0005-0000-0000-0000C50F0000}"/>
    <cellStyle name="Normal 9 2 8 2 2" xfId="8220" xr:uid="{00000000-0005-0000-0000-000043200000}"/>
    <cellStyle name="Normal 9 2 8 2 2 2" xfId="17811" xr:uid="{249B06BF-E3B6-4442-A79A-77B1354D9983}"/>
    <cellStyle name="Normal 9 2 8 2 3" xfId="13590" xr:uid="{8022E950-57B5-4589-8203-7B1407C0964A}"/>
    <cellStyle name="Normal 9 2 8 3" xfId="6075" xr:uid="{00000000-0005-0000-0000-0000E2170000}"/>
    <cellStyle name="Normal 9 2 8 3 2" xfId="15666" xr:uid="{00A00DBA-4538-4B0D-855B-F8776947639C}"/>
    <cellStyle name="Normal 9 2 8 4" xfId="11361" xr:uid="{66CF12B1-740D-4DFC-832D-B13E9D3AA8B7}"/>
    <cellStyle name="Normal 9 2 9" xfId="2182" xr:uid="{00000000-0005-0000-0000-0000AD080000}"/>
    <cellStyle name="Normal 9 2 9 2" xfId="4411" xr:uid="{00000000-0005-0000-0000-000062110000}"/>
    <cellStyle name="Normal 9 2 9 2 2" xfId="8633" xr:uid="{00000000-0005-0000-0000-0000E0210000}"/>
    <cellStyle name="Normal 9 2 9 2 2 2" xfId="18224" xr:uid="{63D35C4B-41F2-467A-8E74-4F3AA2CD44EC}"/>
    <cellStyle name="Normal 9 2 9 2 3" xfId="14003" xr:uid="{1B1BF5BE-53C3-44DA-B8B3-F8E081647360}"/>
    <cellStyle name="Normal 9 2 9 3" xfId="6488" xr:uid="{00000000-0005-0000-0000-00007F190000}"/>
    <cellStyle name="Normal 9 2 9 3 2" xfId="16079" xr:uid="{51207787-DD01-4B2B-98BE-A9551EA79C86}"/>
    <cellStyle name="Normal 9 2 9 4" xfId="11774" xr:uid="{90E2C860-6FF9-4416-8654-B9D6F277477A}"/>
    <cellStyle name="Normal 9 3" xfId="491" xr:uid="{00000000-0005-0000-0000-00000F020000}"/>
    <cellStyle name="Normal 9 3 10" xfId="4852" xr:uid="{00000000-0005-0000-0000-00001B130000}"/>
    <cellStyle name="Normal 9 3 10 2" xfId="14443" xr:uid="{5FA4ABD6-70B5-417D-A78A-F4E292BBF88A}"/>
    <cellStyle name="Normal 9 3 11" xfId="8738" xr:uid="{00000000-0005-0000-0000-000049220000}"/>
    <cellStyle name="Normal 9 3 12" xfId="10089" xr:uid="{10686028-315B-4E75-8D19-D580ED020D04}"/>
    <cellStyle name="Normal 9 3 2" xfId="492" xr:uid="{00000000-0005-0000-0000-000010020000}"/>
    <cellStyle name="Normal 9 3 2 10" xfId="8801" xr:uid="{00000000-0005-0000-0000-000088220000}"/>
    <cellStyle name="Normal 9 3 2 11" xfId="10090" xr:uid="{91C6A9C5-305E-4314-8783-61B442611FAC}"/>
    <cellStyle name="Normal 9 3 2 2" xfId="493" xr:uid="{00000000-0005-0000-0000-000011020000}"/>
    <cellStyle name="Normal 9 3 2 2 10" xfId="10091" xr:uid="{502AFCE5-2495-435E-ABF3-5C602ADA1940}"/>
    <cellStyle name="Normal 9 3 2 2 2" xfId="494" xr:uid="{00000000-0005-0000-0000-000012020000}"/>
    <cellStyle name="Normal 9 3 2 2 2 2" xfId="958" xr:uid="{00000000-0005-0000-0000-0000E5030000}"/>
    <cellStyle name="Normal 9 3 2 2 2 2 2" xfId="3191" xr:uid="{00000000-0005-0000-0000-00009E0C0000}"/>
    <cellStyle name="Normal 9 3 2 2 2 2 2 2" xfId="7413" xr:uid="{00000000-0005-0000-0000-00001C1D0000}"/>
    <cellStyle name="Normal 9 3 2 2 2 2 2 2 2" xfId="17004" xr:uid="{D48AF642-3E95-42D7-8503-199E447E3907}"/>
    <cellStyle name="Normal 9 3 2 2 2 2 2 3" xfId="12783" xr:uid="{3459A963-89AB-4A63-BC21-CD56F92755EE}"/>
    <cellStyle name="Normal 9 3 2 2 2 2 3" xfId="5268" xr:uid="{00000000-0005-0000-0000-0000BB140000}"/>
    <cellStyle name="Normal 9 3 2 2 2 2 3 2" xfId="14859" xr:uid="{3C6E241C-E886-4435-AB45-5FB6902AC52E}"/>
    <cellStyle name="Normal 9 3 2 2 2 2 4" xfId="9536" xr:uid="{00000000-0005-0000-0000-000067250000}"/>
    <cellStyle name="Normal 9 3 2 2 2 2 5" xfId="10551" xr:uid="{6E7C2809-6850-4BD2-8425-5F49EF9A711A}"/>
    <cellStyle name="Normal 9 3 2 2 2 3" xfId="1374" xr:uid="{00000000-0005-0000-0000-000085050000}"/>
    <cellStyle name="Normal 9 3 2 2 2 3 2" xfId="3604" xr:uid="{00000000-0005-0000-0000-00003B0E0000}"/>
    <cellStyle name="Normal 9 3 2 2 2 3 2 2" xfId="7826" xr:uid="{00000000-0005-0000-0000-0000B91E0000}"/>
    <cellStyle name="Normal 9 3 2 2 2 3 2 2 2" xfId="17417" xr:uid="{378C150E-FE19-4313-B287-76E6E0E4DE8D}"/>
    <cellStyle name="Normal 9 3 2 2 2 3 2 3" xfId="13196" xr:uid="{BCE07C7F-5220-437D-ADE4-4A146708754B}"/>
    <cellStyle name="Normal 9 3 2 2 2 3 3" xfId="5681" xr:uid="{00000000-0005-0000-0000-000058160000}"/>
    <cellStyle name="Normal 9 3 2 2 2 3 3 2" xfId="15272" xr:uid="{2AFBA245-5CDD-47CB-86E5-FFD1DB1A248B}"/>
    <cellStyle name="Normal 9 3 2 2 2 3 4" xfId="10967" xr:uid="{3CFD35AC-B9B0-470B-89CC-2B93F850FA19}"/>
    <cellStyle name="Normal 9 3 2 2 2 4" xfId="1787" xr:uid="{00000000-0005-0000-0000-000022070000}"/>
    <cellStyle name="Normal 9 3 2 2 2 4 2" xfId="4017" xr:uid="{00000000-0005-0000-0000-0000D80F0000}"/>
    <cellStyle name="Normal 9 3 2 2 2 4 2 2" xfId="8239" xr:uid="{00000000-0005-0000-0000-000056200000}"/>
    <cellStyle name="Normal 9 3 2 2 2 4 2 2 2" xfId="17830" xr:uid="{68C44A84-61F3-494C-BF68-9F7CA31C7081}"/>
    <cellStyle name="Normal 9 3 2 2 2 4 2 3" xfId="13609" xr:uid="{6EA47573-AD27-49FC-A867-1E259B72249E}"/>
    <cellStyle name="Normal 9 3 2 2 2 4 3" xfId="6094" xr:uid="{00000000-0005-0000-0000-0000F5170000}"/>
    <cellStyle name="Normal 9 3 2 2 2 4 3 2" xfId="15685" xr:uid="{9997B805-7F8D-4A24-95B1-EB880E621D7C}"/>
    <cellStyle name="Normal 9 3 2 2 2 4 4" xfId="11380" xr:uid="{F531DD57-78B2-4C48-8306-413498F58597}"/>
    <cellStyle name="Normal 9 3 2 2 2 5" xfId="2201" xr:uid="{00000000-0005-0000-0000-0000C0080000}"/>
    <cellStyle name="Normal 9 3 2 2 2 5 2" xfId="4430" xr:uid="{00000000-0005-0000-0000-000075110000}"/>
    <cellStyle name="Normal 9 3 2 2 2 5 2 2" xfId="8652" xr:uid="{00000000-0005-0000-0000-0000F3210000}"/>
    <cellStyle name="Normal 9 3 2 2 2 5 2 2 2" xfId="18243" xr:uid="{5FEF9DFF-E0C8-4A00-B1E6-9F9A79BF6441}"/>
    <cellStyle name="Normal 9 3 2 2 2 5 2 3" xfId="14022" xr:uid="{B60E0543-9595-47F4-9674-0C0968A345CA}"/>
    <cellStyle name="Normal 9 3 2 2 2 5 3" xfId="6507" xr:uid="{00000000-0005-0000-0000-000092190000}"/>
    <cellStyle name="Normal 9 3 2 2 2 5 3 2" xfId="16098" xr:uid="{57E374A3-FF8B-49FE-B0A6-07328696D4FB}"/>
    <cellStyle name="Normal 9 3 2 2 2 5 4" xfId="11793" xr:uid="{AEFD114D-570F-411C-875A-5C7E2D23F8FE}"/>
    <cellStyle name="Normal 9 3 2 2 2 6" xfId="2637" xr:uid="{00000000-0005-0000-0000-0000740A0000}"/>
    <cellStyle name="Normal 9 3 2 2 2 6 2" xfId="6920" xr:uid="{00000000-0005-0000-0000-00002F1B0000}"/>
    <cellStyle name="Normal 9 3 2 2 2 6 2 2" xfId="16511" xr:uid="{54CA6658-4703-4294-9C35-6E2AE5BB77B5}"/>
    <cellStyle name="Normal 9 3 2 2 2 6 3" xfId="12229" xr:uid="{791322A8-1CEB-4936-861C-77E1F0C5EFDA}"/>
    <cellStyle name="Normal 9 3 2 2 2 7" xfId="4855" xr:uid="{00000000-0005-0000-0000-00001E130000}"/>
    <cellStyle name="Normal 9 3 2 2 2 7 2" xfId="14446" xr:uid="{E8D92A52-B66B-4421-A35C-0A8D113A750C}"/>
    <cellStyle name="Normal 9 3 2 2 2 8" xfId="9111" xr:uid="{00000000-0005-0000-0000-0000BE230000}"/>
    <cellStyle name="Normal 9 3 2 2 2 9" xfId="10092" xr:uid="{9EE9D905-C985-49F1-A8ED-1BC7F0C8F931}"/>
    <cellStyle name="Normal 9 3 2 2 3" xfId="957" xr:uid="{00000000-0005-0000-0000-0000E4030000}"/>
    <cellStyle name="Normal 9 3 2 2 3 2" xfId="3190" xr:uid="{00000000-0005-0000-0000-00009D0C0000}"/>
    <cellStyle name="Normal 9 3 2 2 3 2 2" xfId="7412" xr:uid="{00000000-0005-0000-0000-00001B1D0000}"/>
    <cellStyle name="Normal 9 3 2 2 3 2 2 2" xfId="17003" xr:uid="{4818DDE7-C4BC-4E26-99AE-EC08574E01BA}"/>
    <cellStyle name="Normal 9 3 2 2 3 2 3" xfId="12782" xr:uid="{2B7B6486-7526-4FEC-B3D4-6AD77BA2EC09}"/>
    <cellStyle name="Normal 9 3 2 2 3 3" xfId="5267" xr:uid="{00000000-0005-0000-0000-0000BA140000}"/>
    <cellStyle name="Normal 9 3 2 2 3 3 2" xfId="14858" xr:uid="{417E105D-335E-40C7-A9BC-15361DCDE07B}"/>
    <cellStyle name="Normal 9 3 2 2 3 4" xfId="9329" xr:uid="{00000000-0005-0000-0000-000098240000}"/>
    <cellStyle name="Normal 9 3 2 2 3 5" xfId="10550" xr:uid="{53A5A802-7765-4F4A-B995-01513D119F6C}"/>
    <cellStyle name="Normal 9 3 2 2 4" xfId="1373" xr:uid="{00000000-0005-0000-0000-000084050000}"/>
    <cellStyle name="Normal 9 3 2 2 4 2" xfId="3603" xr:uid="{00000000-0005-0000-0000-00003A0E0000}"/>
    <cellStyle name="Normal 9 3 2 2 4 2 2" xfId="7825" xr:uid="{00000000-0005-0000-0000-0000B81E0000}"/>
    <cellStyle name="Normal 9 3 2 2 4 2 2 2" xfId="17416" xr:uid="{7289DA9D-4FC3-44B1-A5B0-D97FF887367D}"/>
    <cellStyle name="Normal 9 3 2 2 4 2 3" xfId="13195" xr:uid="{2ABCB9E9-DFF9-4713-81D2-B08404FF77B7}"/>
    <cellStyle name="Normal 9 3 2 2 4 3" xfId="5680" xr:uid="{00000000-0005-0000-0000-000057160000}"/>
    <cellStyle name="Normal 9 3 2 2 4 3 2" xfId="15271" xr:uid="{7F4D5A12-6D89-4E79-A18F-ED2AF95B79E8}"/>
    <cellStyle name="Normal 9 3 2 2 4 4" xfId="10966" xr:uid="{C295169A-4CE5-4B8A-87D1-DA8A66761EFD}"/>
    <cellStyle name="Normal 9 3 2 2 5" xfId="1786" xr:uid="{00000000-0005-0000-0000-000021070000}"/>
    <cellStyle name="Normal 9 3 2 2 5 2" xfId="4016" xr:uid="{00000000-0005-0000-0000-0000D70F0000}"/>
    <cellStyle name="Normal 9 3 2 2 5 2 2" xfId="8238" xr:uid="{00000000-0005-0000-0000-000055200000}"/>
    <cellStyle name="Normal 9 3 2 2 5 2 2 2" xfId="17829" xr:uid="{B907A6CF-5596-430A-901F-71CEFD9FDFBF}"/>
    <cellStyle name="Normal 9 3 2 2 5 2 3" xfId="13608" xr:uid="{AD1539D0-F246-4CBF-BE6E-D10833AC366C}"/>
    <cellStyle name="Normal 9 3 2 2 5 3" xfId="6093" xr:uid="{00000000-0005-0000-0000-0000F4170000}"/>
    <cellStyle name="Normal 9 3 2 2 5 3 2" xfId="15684" xr:uid="{F9407561-80D9-4BC1-9218-1BB477251D45}"/>
    <cellStyle name="Normal 9 3 2 2 5 4" xfId="11379" xr:uid="{A501913D-BDBE-402F-BE03-ECDE440C6B2D}"/>
    <cellStyle name="Normal 9 3 2 2 6" xfId="2200" xr:uid="{00000000-0005-0000-0000-0000BF080000}"/>
    <cellStyle name="Normal 9 3 2 2 6 2" xfId="4429" xr:uid="{00000000-0005-0000-0000-000074110000}"/>
    <cellStyle name="Normal 9 3 2 2 6 2 2" xfId="8651" xr:uid="{00000000-0005-0000-0000-0000F2210000}"/>
    <cellStyle name="Normal 9 3 2 2 6 2 2 2" xfId="18242" xr:uid="{B6F3D9B6-A0A3-45D8-BF86-30F8D4A4EE9B}"/>
    <cellStyle name="Normal 9 3 2 2 6 2 3" xfId="14021" xr:uid="{12E6F48D-6EB9-4DDE-B674-31A17EE2504F}"/>
    <cellStyle name="Normal 9 3 2 2 6 3" xfId="6506" xr:uid="{00000000-0005-0000-0000-000091190000}"/>
    <cellStyle name="Normal 9 3 2 2 6 3 2" xfId="16097" xr:uid="{88993C7B-8134-4F72-B7BF-E81D6A5E1F93}"/>
    <cellStyle name="Normal 9 3 2 2 6 4" xfId="11792" xr:uid="{B8EA3C1D-D8D4-4BFF-BC40-239A5501033E}"/>
    <cellStyle name="Normal 9 3 2 2 7" xfId="2636" xr:uid="{00000000-0005-0000-0000-0000730A0000}"/>
    <cellStyle name="Normal 9 3 2 2 7 2" xfId="6919" xr:uid="{00000000-0005-0000-0000-00002E1B0000}"/>
    <cellStyle name="Normal 9 3 2 2 7 2 2" xfId="16510" xr:uid="{E9FE427F-8469-42BE-835F-FFCC99A483F6}"/>
    <cellStyle name="Normal 9 3 2 2 7 3" xfId="12228" xr:uid="{D88D9DEC-DB8B-4402-8475-86DCFC38BB6A}"/>
    <cellStyle name="Normal 9 3 2 2 8" xfId="4854" xr:uid="{00000000-0005-0000-0000-00001D130000}"/>
    <cellStyle name="Normal 9 3 2 2 8 2" xfId="14445" xr:uid="{B4ED63F8-86AF-485F-83D5-F6E3D18EF397}"/>
    <cellStyle name="Normal 9 3 2 2 9" xfId="8904" xr:uid="{00000000-0005-0000-0000-0000EF220000}"/>
    <cellStyle name="Normal 9 3 2 3" xfId="495" xr:uid="{00000000-0005-0000-0000-000013020000}"/>
    <cellStyle name="Normal 9 3 2 3 2" xfId="959" xr:uid="{00000000-0005-0000-0000-0000E6030000}"/>
    <cellStyle name="Normal 9 3 2 3 2 2" xfId="3192" xr:uid="{00000000-0005-0000-0000-00009F0C0000}"/>
    <cellStyle name="Normal 9 3 2 3 2 2 2" xfId="7414" xr:uid="{00000000-0005-0000-0000-00001D1D0000}"/>
    <cellStyle name="Normal 9 3 2 3 2 2 2 2" xfId="17005" xr:uid="{4512CD75-E5B3-4FA0-9F90-6D9DB88AB239}"/>
    <cellStyle name="Normal 9 3 2 3 2 2 3" xfId="12784" xr:uid="{EB01A9BE-FC39-41DC-A482-F4509CD4EDD4}"/>
    <cellStyle name="Normal 9 3 2 3 2 3" xfId="5269" xr:uid="{00000000-0005-0000-0000-0000BC140000}"/>
    <cellStyle name="Normal 9 3 2 3 2 3 2" xfId="14860" xr:uid="{75D50062-F999-4765-8972-8EA744BA07CC}"/>
    <cellStyle name="Normal 9 3 2 3 2 4" xfId="9433" xr:uid="{00000000-0005-0000-0000-000000250000}"/>
    <cellStyle name="Normal 9 3 2 3 2 5" xfId="10552" xr:uid="{A1CEF30F-4E00-4D2B-82E4-B763041BB5F3}"/>
    <cellStyle name="Normal 9 3 2 3 3" xfId="1375" xr:uid="{00000000-0005-0000-0000-000086050000}"/>
    <cellStyle name="Normal 9 3 2 3 3 2" xfId="3605" xr:uid="{00000000-0005-0000-0000-00003C0E0000}"/>
    <cellStyle name="Normal 9 3 2 3 3 2 2" xfId="7827" xr:uid="{00000000-0005-0000-0000-0000BA1E0000}"/>
    <cellStyle name="Normal 9 3 2 3 3 2 2 2" xfId="17418" xr:uid="{B302F3E3-C494-4AA5-9057-41DCEB066BB6}"/>
    <cellStyle name="Normal 9 3 2 3 3 2 3" xfId="13197" xr:uid="{A98E1BB7-983F-4371-9191-DB63EE3C2C12}"/>
    <cellStyle name="Normal 9 3 2 3 3 3" xfId="5682" xr:uid="{00000000-0005-0000-0000-000059160000}"/>
    <cellStyle name="Normal 9 3 2 3 3 3 2" xfId="15273" xr:uid="{B82921E2-3A41-4247-BCB8-36406EF9692D}"/>
    <cellStyle name="Normal 9 3 2 3 3 4" xfId="10968" xr:uid="{5ADB5C63-2EB0-46F2-8B6D-871683BA5821}"/>
    <cellStyle name="Normal 9 3 2 3 4" xfId="1788" xr:uid="{00000000-0005-0000-0000-000023070000}"/>
    <cellStyle name="Normal 9 3 2 3 4 2" xfId="4018" xr:uid="{00000000-0005-0000-0000-0000D90F0000}"/>
    <cellStyle name="Normal 9 3 2 3 4 2 2" xfId="8240" xr:uid="{00000000-0005-0000-0000-000057200000}"/>
    <cellStyle name="Normal 9 3 2 3 4 2 2 2" xfId="17831" xr:uid="{DE36199E-8A5B-4C30-A173-AB6ADAB80B44}"/>
    <cellStyle name="Normal 9 3 2 3 4 2 3" xfId="13610" xr:uid="{294CB215-201D-466A-8629-D2161412240B}"/>
    <cellStyle name="Normal 9 3 2 3 4 3" xfId="6095" xr:uid="{00000000-0005-0000-0000-0000F6170000}"/>
    <cellStyle name="Normal 9 3 2 3 4 3 2" xfId="15686" xr:uid="{3B9A026F-B9A4-4683-9681-BFBC19A0FEF3}"/>
    <cellStyle name="Normal 9 3 2 3 4 4" xfId="11381" xr:uid="{4B304530-3C1E-4C74-B7D7-D259FDFA166E}"/>
    <cellStyle name="Normal 9 3 2 3 5" xfId="2202" xr:uid="{00000000-0005-0000-0000-0000C1080000}"/>
    <cellStyle name="Normal 9 3 2 3 5 2" xfId="4431" xr:uid="{00000000-0005-0000-0000-000076110000}"/>
    <cellStyle name="Normal 9 3 2 3 5 2 2" xfId="8653" xr:uid="{00000000-0005-0000-0000-0000F4210000}"/>
    <cellStyle name="Normal 9 3 2 3 5 2 2 2" xfId="18244" xr:uid="{4787AD26-CA0B-4571-867B-54CC79B6ECBA}"/>
    <cellStyle name="Normal 9 3 2 3 5 2 3" xfId="14023" xr:uid="{7DD83409-D940-4A39-9CB2-CB5557C3291A}"/>
    <cellStyle name="Normal 9 3 2 3 5 3" xfId="6508" xr:uid="{00000000-0005-0000-0000-000093190000}"/>
    <cellStyle name="Normal 9 3 2 3 5 3 2" xfId="16099" xr:uid="{E49D794C-BE07-4B55-8B1A-11F54AE9CCAE}"/>
    <cellStyle name="Normal 9 3 2 3 5 4" xfId="11794" xr:uid="{04377B44-B1B2-4E70-B055-A855B2DA5E50}"/>
    <cellStyle name="Normal 9 3 2 3 6" xfId="2638" xr:uid="{00000000-0005-0000-0000-0000750A0000}"/>
    <cellStyle name="Normal 9 3 2 3 6 2" xfId="6921" xr:uid="{00000000-0005-0000-0000-0000301B0000}"/>
    <cellStyle name="Normal 9 3 2 3 6 2 2" xfId="16512" xr:uid="{FC7EA639-531C-4179-8517-B470C402F7CF}"/>
    <cellStyle name="Normal 9 3 2 3 6 3" xfId="12230" xr:uid="{5859C182-E1AE-45FC-B353-42D66B8F81F6}"/>
    <cellStyle name="Normal 9 3 2 3 7" xfId="4856" xr:uid="{00000000-0005-0000-0000-00001F130000}"/>
    <cellStyle name="Normal 9 3 2 3 7 2" xfId="14447" xr:uid="{BDBE2D0A-D736-4E6A-881B-A781C1BD5CDA}"/>
    <cellStyle name="Normal 9 3 2 3 8" xfId="9008" xr:uid="{00000000-0005-0000-0000-000057230000}"/>
    <cellStyle name="Normal 9 3 2 3 9" xfId="10093" xr:uid="{4F24C971-4BCB-4EB8-98CD-B9F2B06812A1}"/>
    <cellStyle name="Normal 9 3 2 4" xfId="956" xr:uid="{00000000-0005-0000-0000-0000E3030000}"/>
    <cellStyle name="Normal 9 3 2 4 2" xfId="3189" xr:uid="{00000000-0005-0000-0000-00009C0C0000}"/>
    <cellStyle name="Normal 9 3 2 4 2 2" xfId="7411" xr:uid="{00000000-0005-0000-0000-00001A1D0000}"/>
    <cellStyle name="Normal 9 3 2 4 2 2 2" xfId="17002" xr:uid="{793FFD91-64CE-490B-BEA0-4398700C5B4B}"/>
    <cellStyle name="Normal 9 3 2 4 2 3" xfId="12781" xr:uid="{731B273D-3205-4AB7-BAFE-EEFF1343046B}"/>
    <cellStyle name="Normal 9 3 2 4 3" xfId="5266" xr:uid="{00000000-0005-0000-0000-0000B9140000}"/>
    <cellStyle name="Normal 9 3 2 4 3 2" xfId="14857" xr:uid="{62F7ADC4-E479-490B-8AEC-87831D082B25}"/>
    <cellStyle name="Normal 9 3 2 4 4" xfId="9226" xr:uid="{00000000-0005-0000-0000-000031240000}"/>
    <cellStyle name="Normal 9 3 2 4 5" xfId="10549" xr:uid="{59924E23-5830-45D4-B48A-3E81304EF2DD}"/>
    <cellStyle name="Normal 9 3 2 5" xfId="1372" xr:uid="{00000000-0005-0000-0000-000083050000}"/>
    <cellStyle name="Normal 9 3 2 5 2" xfId="3602" xr:uid="{00000000-0005-0000-0000-0000390E0000}"/>
    <cellStyle name="Normal 9 3 2 5 2 2" xfId="7824" xr:uid="{00000000-0005-0000-0000-0000B71E0000}"/>
    <cellStyle name="Normal 9 3 2 5 2 2 2" xfId="17415" xr:uid="{D25377FE-1901-45D3-9063-306D6698243B}"/>
    <cellStyle name="Normal 9 3 2 5 2 3" xfId="13194" xr:uid="{5F77604D-A093-41AF-A172-5C32A3B5EC8D}"/>
    <cellStyle name="Normal 9 3 2 5 3" xfId="5679" xr:uid="{00000000-0005-0000-0000-000056160000}"/>
    <cellStyle name="Normal 9 3 2 5 3 2" xfId="15270" xr:uid="{7850FBF7-3061-46C3-8963-2F34E414D25A}"/>
    <cellStyle name="Normal 9 3 2 5 4" xfId="10965" xr:uid="{42082A25-8761-4EE8-A67E-FDDC02910947}"/>
    <cellStyle name="Normal 9 3 2 6" xfId="1785" xr:uid="{00000000-0005-0000-0000-000020070000}"/>
    <cellStyle name="Normal 9 3 2 6 2" xfId="4015" xr:uid="{00000000-0005-0000-0000-0000D60F0000}"/>
    <cellStyle name="Normal 9 3 2 6 2 2" xfId="8237" xr:uid="{00000000-0005-0000-0000-000054200000}"/>
    <cellStyle name="Normal 9 3 2 6 2 2 2" xfId="17828" xr:uid="{B676AD07-2331-4E58-8855-B7C25223E02B}"/>
    <cellStyle name="Normal 9 3 2 6 2 3" xfId="13607" xr:uid="{8D4191D4-36EA-455F-8270-1E7AB0541C9A}"/>
    <cellStyle name="Normal 9 3 2 6 3" xfId="6092" xr:uid="{00000000-0005-0000-0000-0000F3170000}"/>
    <cellStyle name="Normal 9 3 2 6 3 2" xfId="15683" xr:uid="{0190ED89-D8CF-4344-8778-D9D74E2B070F}"/>
    <cellStyle name="Normal 9 3 2 6 4" xfId="11378" xr:uid="{B8A91140-77B1-4AAA-9D5F-542CFCE23F6B}"/>
    <cellStyle name="Normal 9 3 2 7" xfId="2199" xr:uid="{00000000-0005-0000-0000-0000BE080000}"/>
    <cellStyle name="Normal 9 3 2 7 2" xfId="4428" xr:uid="{00000000-0005-0000-0000-000073110000}"/>
    <cellStyle name="Normal 9 3 2 7 2 2" xfId="8650" xr:uid="{00000000-0005-0000-0000-0000F1210000}"/>
    <cellStyle name="Normal 9 3 2 7 2 2 2" xfId="18241" xr:uid="{C174D640-092B-4EC8-91E3-7616D7D0C2AA}"/>
    <cellStyle name="Normal 9 3 2 7 2 3" xfId="14020" xr:uid="{958507CB-4056-4760-A409-0FE1E280B0CC}"/>
    <cellStyle name="Normal 9 3 2 7 3" xfId="6505" xr:uid="{00000000-0005-0000-0000-000090190000}"/>
    <cellStyle name="Normal 9 3 2 7 3 2" xfId="16096" xr:uid="{557BD619-7FA2-4879-AB39-9182028E48D3}"/>
    <cellStyle name="Normal 9 3 2 7 4" xfId="11791" xr:uid="{A0455574-8FF3-43E3-8537-1F5F41E9F826}"/>
    <cellStyle name="Normal 9 3 2 8" xfId="2635" xr:uid="{00000000-0005-0000-0000-0000720A0000}"/>
    <cellStyle name="Normal 9 3 2 8 2" xfId="6918" xr:uid="{00000000-0005-0000-0000-00002D1B0000}"/>
    <cellStyle name="Normal 9 3 2 8 2 2" xfId="16509" xr:uid="{308681E3-A9EC-44B2-8944-6CAFED11D4CF}"/>
    <cellStyle name="Normal 9 3 2 8 3" xfId="12227" xr:uid="{316BF25A-30A9-4CBE-9C63-CE9AA851E5CE}"/>
    <cellStyle name="Normal 9 3 2 9" xfId="4853" xr:uid="{00000000-0005-0000-0000-00001C130000}"/>
    <cellStyle name="Normal 9 3 2 9 2" xfId="14444" xr:uid="{4ACC56E4-C11D-4349-9ED9-7EB3CDAE4EF0}"/>
    <cellStyle name="Normal 9 3 3" xfId="496" xr:uid="{00000000-0005-0000-0000-000014020000}"/>
    <cellStyle name="Normal 9 3 3 10" xfId="10094" xr:uid="{9F9BD889-A086-45B7-8BE7-91C669366D62}"/>
    <cellStyle name="Normal 9 3 3 2" xfId="497" xr:uid="{00000000-0005-0000-0000-000015020000}"/>
    <cellStyle name="Normal 9 3 3 2 2" xfId="961" xr:uid="{00000000-0005-0000-0000-0000E8030000}"/>
    <cellStyle name="Normal 9 3 3 2 2 2" xfId="3194" xr:uid="{00000000-0005-0000-0000-0000A10C0000}"/>
    <cellStyle name="Normal 9 3 3 2 2 2 2" xfId="7416" xr:uid="{00000000-0005-0000-0000-00001F1D0000}"/>
    <cellStyle name="Normal 9 3 3 2 2 2 2 2" xfId="17007" xr:uid="{B45EF233-542D-4710-A6AF-5A1A72F8B355}"/>
    <cellStyle name="Normal 9 3 3 2 2 2 3" xfId="12786" xr:uid="{F3806F58-7ECF-429B-950B-127F29F1BD4E}"/>
    <cellStyle name="Normal 9 3 3 2 2 3" xfId="5271" xr:uid="{00000000-0005-0000-0000-0000BE140000}"/>
    <cellStyle name="Normal 9 3 3 2 2 3 2" xfId="14862" xr:uid="{EE077A7E-ADE7-41DC-A96F-7168A21B03D8}"/>
    <cellStyle name="Normal 9 3 3 2 2 4" xfId="9473" xr:uid="{00000000-0005-0000-0000-000028250000}"/>
    <cellStyle name="Normal 9 3 3 2 2 5" xfId="10554" xr:uid="{08A15AD3-11D1-4E40-8635-24AB3E5E2F52}"/>
    <cellStyle name="Normal 9 3 3 2 3" xfId="1377" xr:uid="{00000000-0005-0000-0000-000088050000}"/>
    <cellStyle name="Normal 9 3 3 2 3 2" xfId="3607" xr:uid="{00000000-0005-0000-0000-00003E0E0000}"/>
    <cellStyle name="Normal 9 3 3 2 3 2 2" xfId="7829" xr:uid="{00000000-0005-0000-0000-0000BC1E0000}"/>
    <cellStyle name="Normal 9 3 3 2 3 2 2 2" xfId="17420" xr:uid="{9332F60A-EC80-42D0-A68A-273516807F26}"/>
    <cellStyle name="Normal 9 3 3 2 3 2 3" xfId="13199" xr:uid="{20644840-04F1-463B-AD3C-611FA1ACBEFB}"/>
    <cellStyle name="Normal 9 3 3 2 3 3" xfId="5684" xr:uid="{00000000-0005-0000-0000-00005B160000}"/>
    <cellStyle name="Normal 9 3 3 2 3 3 2" xfId="15275" xr:uid="{36C651F7-5857-4035-9EF9-5554A635B33E}"/>
    <cellStyle name="Normal 9 3 3 2 3 4" xfId="10970" xr:uid="{422AEA02-8D6C-4BE1-9903-ED0D20227FCE}"/>
    <cellStyle name="Normal 9 3 3 2 4" xfId="1790" xr:uid="{00000000-0005-0000-0000-000025070000}"/>
    <cellStyle name="Normal 9 3 3 2 4 2" xfId="4020" xr:uid="{00000000-0005-0000-0000-0000DB0F0000}"/>
    <cellStyle name="Normal 9 3 3 2 4 2 2" xfId="8242" xr:uid="{00000000-0005-0000-0000-000059200000}"/>
    <cellStyle name="Normal 9 3 3 2 4 2 2 2" xfId="17833" xr:uid="{C43A3600-BCF1-4C3C-8DC9-E841B3A04125}"/>
    <cellStyle name="Normal 9 3 3 2 4 2 3" xfId="13612" xr:uid="{D9E42704-8FBE-407A-95C9-EC2897829910}"/>
    <cellStyle name="Normal 9 3 3 2 4 3" xfId="6097" xr:uid="{00000000-0005-0000-0000-0000F8170000}"/>
    <cellStyle name="Normal 9 3 3 2 4 3 2" xfId="15688" xr:uid="{65A72814-3850-405C-A1AC-FCB140143162}"/>
    <cellStyle name="Normal 9 3 3 2 4 4" xfId="11383" xr:uid="{79BFABFF-703A-4A28-88BD-6FB0EE9DEC92}"/>
    <cellStyle name="Normal 9 3 3 2 5" xfId="2204" xr:uid="{00000000-0005-0000-0000-0000C3080000}"/>
    <cellStyle name="Normal 9 3 3 2 5 2" xfId="4433" xr:uid="{00000000-0005-0000-0000-000078110000}"/>
    <cellStyle name="Normal 9 3 3 2 5 2 2" xfId="8655" xr:uid="{00000000-0005-0000-0000-0000F6210000}"/>
    <cellStyle name="Normal 9 3 3 2 5 2 2 2" xfId="18246" xr:uid="{C9580FB9-8617-4897-9FF1-6E3F9AD842C8}"/>
    <cellStyle name="Normal 9 3 3 2 5 2 3" xfId="14025" xr:uid="{73AFB54B-48AB-4739-BBC8-F0408E1A58CD}"/>
    <cellStyle name="Normal 9 3 3 2 5 3" xfId="6510" xr:uid="{00000000-0005-0000-0000-000095190000}"/>
    <cellStyle name="Normal 9 3 3 2 5 3 2" xfId="16101" xr:uid="{8DE5AF4A-1D60-4674-AC6A-4FB9160C0B9C}"/>
    <cellStyle name="Normal 9 3 3 2 5 4" xfId="11796" xr:uid="{D791F1BD-7A7F-4539-A711-F6C6ED5BE2CB}"/>
    <cellStyle name="Normal 9 3 3 2 6" xfId="2640" xr:uid="{00000000-0005-0000-0000-0000770A0000}"/>
    <cellStyle name="Normal 9 3 3 2 6 2" xfId="6923" xr:uid="{00000000-0005-0000-0000-0000321B0000}"/>
    <cellStyle name="Normal 9 3 3 2 6 2 2" xfId="16514" xr:uid="{13ACC8B3-724F-4178-A50E-493FD6E0EE06}"/>
    <cellStyle name="Normal 9 3 3 2 6 3" xfId="12232" xr:uid="{7AB9CA92-04A6-4259-A1BB-C477FD7B032A}"/>
    <cellStyle name="Normal 9 3 3 2 7" xfId="4858" xr:uid="{00000000-0005-0000-0000-000021130000}"/>
    <cellStyle name="Normal 9 3 3 2 7 2" xfId="14449" xr:uid="{BC571ADE-DB41-4E61-9367-76B2B80009E6}"/>
    <cellStyle name="Normal 9 3 3 2 8" xfId="9048" xr:uid="{00000000-0005-0000-0000-00007F230000}"/>
    <cellStyle name="Normal 9 3 3 2 9" xfId="10095" xr:uid="{B6B09351-66A1-4D3E-BC82-A3B4B65042BE}"/>
    <cellStyle name="Normal 9 3 3 3" xfId="960" xr:uid="{00000000-0005-0000-0000-0000E7030000}"/>
    <cellStyle name="Normal 9 3 3 3 2" xfId="3193" xr:uid="{00000000-0005-0000-0000-0000A00C0000}"/>
    <cellStyle name="Normal 9 3 3 3 2 2" xfId="7415" xr:uid="{00000000-0005-0000-0000-00001E1D0000}"/>
    <cellStyle name="Normal 9 3 3 3 2 2 2" xfId="17006" xr:uid="{2D4650E1-DFB0-4F58-AF49-5C2FCC46745B}"/>
    <cellStyle name="Normal 9 3 3 3 2 3" xfId="12785" xr:uid="{F5A92DE8-BC6B-41B9-9007-BB8E453EA752}"/>
    <cellStyle name="Normal 9 3 3 3 3" xfId="5270" xr:uid="{00000000-0005-0000-0000-0000BD140000}"/>
    <cellStyle name="Normal 9 3 3 3 3 2" xfId="14861" xr:uid="{78099E7C-76B2-4013-993D-BAC1B8D390F1}"/>
    <cellStyle name="Normal 9 3 3 3 4" xfId="9266" xr:uid="{00000000-0005-0000-0000-000059240000}"/>
    <cellStyle name="Normal 9 3 3 3 5" xfId="10553" xr:uid="{E164732B-E6B9-4BE6-8725-EDC8ADC0CC3A}"/>
    <cellStyle name="Normal 9 3 3 4" xfId="1376" xr:uid="{00000000-0005-0000-0000-000087050000}"/>
    <cellStyle name="Normal 9 3 3 4 2" xfId="3606" xr:uid="{00000000-0005-0000-0000-00003D0E0000}"/>
    <cellStyle name="Normal 9 3 3 4 2 2" xfId="7828" xr:uid="{00000000-0005-0000-0000-0000BB1E0000}"/>
    <cellStyle name="Normal 9 3 3 4 2 2 2" xfId="17419" xr:uid="{39866DB5-A932-4191-B3CE-EE92EDACB7AD}"/>
    <cellStyle name="Normal 9 3 3 4 2 3" xfId="13198" xr:uid="{FCEDBBFA-1813-457E-8481-5AF1DD8F0916}"/>
    <cellStyle name="Normal 9 3 3 4 3" xfId="5683" xr:uid="{00000000-0005-0000-0000-00005A160000}"/>
    <cellStyle name="Normal 9 3 3 4 3 2" xfId="15274" xr:uid="{EF0E6FE1-819A-44DB-8FE4-90B965B9BCB1}"/>
    <cellStyle name="Normal 9 3 3 4 4" xfId="10969" xr:uid="{529C0D05-045C-4269-8A36-AA1B8859D61F}"/>
    <cellStyle name="Normal 9 3 3 5" xfId="1789" xr:uid="{00000000-0005-0000-0000-000024070000}"/>
    <cellStyle name="Normal 9 3 3 5 2" xfId="4019" xr:uid="{00000000-0005-0000-0000-0000DA0F0000}"/>
    <cellStyle name="Normal 9 3 3 5 2 2" xfId="8241" xr:uid="{00000000-0005-0000-0000-000058200000}"/>
    <cellStyle name="Normal 9 3 3 5 2 2 2" xfId="17832" xr:uid="{E8713576-F547-49CE-B50B-5906F9E6CF82}"/>
    <cellStyle name="Normal 9 3 3 5 2 3" xfId="13611" xr:uid="{350B53DC-E4D0-4421-8027-C0A8BFE69211}"/>
    <cellStyle name="Normal 9 3 3 5 3" xfId="6096" xr:uid="{00000000-0005-0000-0000-0000F7170000}"/>
    <cellStyle name="Normal 9 3 3 5 3 2" xfId="15687" xr:uid="{31E6C6B7-6A1A-4928-BAF5-D58F492BF15B}"/>
    <cellStyle name="Normal 9 3 3 5 4" xfId="11382" xr:uid="{E4B13965-0FA8-427F-A908-54FD89F3FDF3}"/>
    <cellStyle name="Normal 9 3 3 6" xfId="2203" xr:uid="{00000000-0005-0000-0000-0000C2080000}"/>
    <cellStyle name="Normal 9 3 3 6 2" xfId="4432" xr:uid="{00000000-0005-0000-0000-000077110000}"/>
    <cellStyle name="Normal 9 3 3 6 2 2" xfId="8654" xr:uid="{00000000-0005-0000-0000-0000F5210000}"/>
    <cellStyle name="Normal 9 3 3 6 2 2 2" xfId="18245" xr:uid="{97F29E14-0065-4643-97A9-27577D5FE246}"/>
    <cellStyle name="Normal 9 3 3 6 2 3" xfId="14024" xr:uid="{11658499-6293-4922-92CF-879AA34BB579}"/>
    <cellStyle name="Normal 9 3 3 6 3" xfId="6509" xr:uid="{00000000-0005-0000-0000-000094190000}"/>
    <cellStyle name="Normal 9 3 3 6 3 2" xfId="16100" xr:uid="{8DE4E4EB-284C-41B5-86AD-5D33F5DA4540}"/>
    <cellStyle name="Normal 9 3 3 6 4" xfId="11795" xr:uid="{8922BE23-11E8-4EEE-81C3-ACDF96BCC18D}"/>
    <cellStyle name="Normal 9 3 3 7" xfId="2639" xr:uid="{00000000-0005-0000-0000-0000760A0000}"/>
    <cellStyle name="Normal 9 3 3 7 2" xfId="6922" xr:uid="{00000000-0005-0000-0000-0000311B0000}"/>
    <cellStyle name="Normal 9 3 3 7 2 2" xfId="16513" xr:uid="{7F14F170-8AD1-41D1-9BA6-3A69DEA7D67A}"/>
    <cellStyle name="Normal 9 3 3 7 3" xfId="12231" xr:uid="{050A2003-F689-4CB9-948E-5E7A476426FA}"/>
    <cellStyle name="Normal 9 3 3 8" xfId="4857" xr:uid="{00000000-0005-0000-0000-000020130000}"/>
    <cellStyle name="Normal 9 3 3 8 2" xfId="14448" xr:uid="{9CC8B84D-5DBB-4542-ADC9-8E8681FE54A9}"/>
    <cellStyle name="Normal 9 3 3 9" xfId="8841" xr:uid="{00000000-0005-0000-0000-0000B0220000}"/>
    <cellStyle name="Normal 9 3 4" xfId="498" xr:uid="{00000000-0005-0000-0000-000016020000}"/>
    <cellStyle name="Normal 9 3 4 2" xfId="962" xr:uid="{00000000-0005-0000-0000-0000E9030000}"/>
    <cellStyle name="Normal 9 3 4 2 2" xfId="3195" xr:uid="{00000000-0005-0000-0000-0000A20C0000}"/>
    <cellStyle name="Normal 9 3 4 2 2 2" xfId="7417" xr:uid="{00000000-0005-0000-0000-0000201D0000}"/>
    <cellStyle name="Normal 9 3 4 2 2 2 2" xfId="17008" xr:uid="{295B32E1-6A3B-4CAD-BA22-CBBF415873E2}"/>
    <cellStyle name="Normal 9 3 4 2 2 3" xfId="12787" xr:uid="{D4CF0479-93C9-4E41-BE44-A9CDDF5B0261}"/>
    <cellStyle name="Normal 9 3 4 2 3" xfId="5272" xr:uid="{00000000-0005-0000-0000-0000BF140000}"/>
    <cellStyle name="Normal 9 3 4 2 3 2" xfId="14863" xr:uid="{AF774E19-2B40-4A5E-AA21-EF8799A7024C}"/>
    <cellStyle name="Normal 9 3 4 2 4" xfId="9370" xr:uid="{00000000-0005-0000-0000-0000C1240000}"/>
    <cellStyle name="Normal 9 3 4 2 5" xfId="10555" xr:uid="{A14C4928-E520-4EF9-B60A-1F07F1C49CBF}"/>
    <cellStyle name="Normal 9 3 4 3" xfId="1378" xr:uid="{00000000-0005-0000-0000-000089050000}"/>
    <cellStyle name="Normal 9 3 4 3 2" xfId="3608" xr:uid="{00000000-0005-0000-0000-00003F0E0000}"/>
    <cellStyle name="Normal 9 3 4 3 2 2" xfId="7830" xr:uid="{00000000-0005-0000-0000-0000BD1E0000}"/>
    <cellStyle name="Normal 9 3 4 3 2 2 2" xfId="17421" xr:uid="{402FF645-A080-4316-923F-5B787C2FAF66}"/>
    <cellStyle name="Normal 9 3 4 3 2 3" xfId="13200" xr:uid="{B120CCF9-117B-45A4-B5A5-089E413F5FE3}"/>
    <cellStyle name="Normal 9 3 4 3 3" xfId="5685" xr:uid="{00000000-0005-0000-0000-00005C160000}"/>
    <cellStyle name="Normal 9 3 4 3 3 2" xfId="15276" xr:uid="{1D7DD6CB-02DD-40E5-8D2F-DE3FFC99D6BF}"/>
    <cellStyle name="Normal 9 3 4 3 4" xfId="10971" xr:uid="{3D3C4E01-E1A4-46B9-ACAF-0E03D9F00E76}"/>
    <cellStyle name="Normal 9 3 4 4" xfId="1791" xr:uid="{00000000-0005-0000-0000-000026070000}"/>
    <cellStyle name="Normal 9 3 4 4 2" xfId="4021" xr:uid="{00000000-0005-0000-0000-0000DC0F0000}"/>
    <cellStyle name="Normal 9 3 4 4 2 2" xfId="8243" xr:uid="{00000000-0005-0000-0000-00005A200000}"/>
    <cellStyle name="Normal 9 3 4 4 2 2 2" xfId="17834" xr:uid="{C3205590-9AA7-42D4-8AE4-F5BF89940C1A}"/>
    <cellStyle name="Normal 9 3 4 4 2 3" xfId="13613" xr:uid="{1611CABB-03A0-4C11-A346-D7A649B58961}"/>
    <cellStyle name="Normal 9 3 4 4 3" xfId="6098" xr:uid="{00000000-0005-0000-0000-0000F9170000}"/>
    <cellStyle name="Normal 9 3 4 4 3 2" xfId="15689" xr:uid="{B62FC28A-514D-40BF-B359-69F3B336C58A}"/>
    <cellStyle name="Normal 9 3 4 4 4" xfId="11384" xr:uid="{9E38E79D-C8A1-446B-8956-5886E770D4FE}"/>
    <cellStyle name="Normal 9 3 4 5" xfId="2205" xr:uid="{00000000-0005-0000-0000-0000C4080000}"/>
    <cellStyle name="Normal 9 3 4 5 2" xfId="4434" xr:uid="{00000000-0005-0000-0000-000079110000}"/>
    <cellStyle name="Normal 9 3 4 5 2 2" xfId="8656" xr:uid="{00000000-0005-0000-0000-0000F7210000}"/>
    <cellStyle name="Normal 9 3 4 5 2 2 2" xfId="18247" xr:uid="{31FE6C2D-A709-4F5D-AF58-EC1C9DDFB3B6}"/>
    <cellStyle name="Normal 9 3 4 5 2 3" xfId="14026" xr:uid="{C5230284-58A3-4672-B5D2-1C34A57E06D8}"/>
    <cellStyle name="Normal 9 3 4 5 3" xfId="6511" xr:uid="{00000000-0005-0000-0000-000096190000}"/>
    <cellStyle name="Normal 9 3 4 5 3 2" xfId="16102" xr:uid="{8DDE273A-526B-4AE5-96F6-2ADDBF47B146}"/>
    <cellStyle name="Normal 9 3 4 5 4" xfId="11797" xr:uid="{6F98D157-743A-4114-A123-54D6A685C409}"/>
    <cellStyle name="Normal 9 3 4 6" xfId="2641" xr:uid="{00000000-0005-0000-0000-0000780A0000}"/>
    <cellStyle name="Normal 9 3 4 6 2" xfId="6924" xr:uid="{00000000-0005-0000-0000-0000331B0000}"/>
    <cellStyle name="Normal 9 3 4 6 2 2" xfId="16515" xr:uid="{B5387B44-16E9-4B67-8161-B3B5205DCF2E}"/>
    <cellStyle name="Normal 9 3 4 6 3" xfId="12233" xr:uid="{9124BFFF-9CF2-4F60-AEE8-A79AD4B55D19}"/>
    <cellStyle name="Normal 9 3 4 7" xfId="4859" xr:uid="{00000000-0005-0000-0000-000022130000}"/>
    <cellStyle name="Normal 9 3 4 7 2" xfId="14450" xr:uid="{3B353D5A-4E4B-4563-BC0E-DDFBA3C8C03F}"/>
    <cellStyle name="Normal 9 3 4 8" xfId="8945" xr:uid="{00000000-0005-0000-0000-000018230000}"/>
    <cellStyle name="Normal 9 3 4 9" xfId="10096" xr:uid="{7B57854F-A469-4CC2-B4FC-92303A8F3651}"/>
    <cellStyle name="Normal 9 3 5" xfId="955" xr:uid="{00000000-0005-0000-0000-0000E2030000}"/>
    <cellStyle name="Normal 9 3 5 2" xfId="3188" xr:uid="{00000000-0005-0000-0000-00009B0C0000}"/>
    <cellStyle name="Normal 9 3 5 2 2" xfId="7410" xr:uid="{00000000-0005-0000-0000-0000191D0000}"/>
    <cellStyle name="Normal 9 3 5 2 2 2" xfId="17001" xr:uid="{404350AD-B171-47A9-9144-E10E0A80948D}"/>
    <cellStyle name="Normal 9 3 5 2 3" xfId="12780" xr:uid="{7F1CFC7D-9EEE-42C9-B075-1E6A1287F180}"/>
    <cellStyle name="Normal 9 3 5 3" xfId="5265" xr:uid="{00000000-0005-0000-0000-0000B8140000}"/>
    <cellStyle name="Normal 9 3 5 3 2" xfId="14856" xr:uid="{7AB3120C-92E5-4C21-A9A4-205FAC818C2F}"/>
    <cellStyle name="Normal 9 3 5 4" xfId="9162" xr:uid="{00000000-0005-0000-0000-0000F1230000}"/>
    <cellStyle name="Normal 9 3 5 5" xfId="10548" xr:uid="{7ACF845B-BB6C-4736-979A-1AB2E78CA4A0}"/>
    <cellStyle name="Normal 9 3 6" xfId="1371" xr:uid="{00000000-0005-0000-0000-000082050000}"/>
    <cellStyle name="Normal 9 3 6 2" xfId="3601" xr:uid="{00000000-0005-0000-0000-0000380E0000}"/>
    <cellStyle name="Normal 9 3 6 2 2" xfId="7823" xr:uid="{00000000-0005-0000-0000-0000B61E0000}"/>
    <cellStyle name="Normal 9 3 6 2 2 2" xfId="17414" xr:uid="{539FDF48-60D8-4E0B-9287-2C8E6311D662}"/>
    <cellStyle name="Normal 9 3 6 2 3" xfId="13193" xr:uid="{7604E8E0-92AB-4658-A3D5-5B978D5D7ECA}"/>
    <cellStyle name="Normal 9 3 6 3" xfId="5678" xr:uid="{00000000-0005-0000-0000-000055160000}"/>
    <cellStyle name="Normal 9 3 6 3 2" xfId="15269" xr:uid="{033ADB98-4F3C-4169-BB01-704240F376A6}"/>
    <cellStyle name="Normal 9 3 6 4" xfId="10964" xr:uid="{A4C67FED-4A66-4F14-B2C9-1C0C27FC688B}"/>
    <cellStyle name="Normal 9 3 7" xfId="1784" xr:uid="{00000000-0005-0000-0000-00001F070000}"/>
    <cellStyle name="Normal 9 3 7 2" xfId="4014" xr:uid="{00000000-0005-0000-0000-0000D50F0000}"/>
    <cellStyle name="Normal 9 3 7 2 2" xfId="8236" xr:uid="{00000000-0005-0000-0000-000053200000}"/>
    <cellStyle name="Normal 9 3 7 2 2 2" xfId="17827" xr:uid="{5BE6A4F1-B416-4047-8ACD-9CA9DDFCA835}"/>
    <cellStyle name="Normal 9 3 7 2 3" xfId="13606" xr:uid="{8F49AEA2-C9B8-4E78-9A66-E35CA88F90A7}"/>
    <cellStyle name="Normal 9 3 7 3" xfId="6091" xr:uid="{00000000-0005-0000-0000-0000F2170000}"/>
    <cellStyle name="Normal 9 3 7 3 2" xfId="15682" xr:uid="{0DA4DE00-D104-4225-B2E0-4EF39A3229EC}"/>
    <cellStyle name="Normal 9 3 7 4" xfId="11377" xr:uid="{4CAA1C02-79EF-484D-B402-5F4A306E72A2}"/>
    <cellStyle name="Normal 9 3 8" xfId="2198" xr:uid="{00000000-0005-0000-0000-0000BD080000}"/>
    <cellStyle name="Normal 9 3 8 2" xfId="4427" xr:uid="{00000000-0005-0000-0000-000072110000}"/>
    <cellStyle name="Normal 9 3 8 2 2" xfId="8649" xr:uid="{00000000-0005-0000-0000-0000F0210000}"/>
    <cellStyle name="Normal 9 3 8 2 2 2" xfId="18240" xr:uid="{C89532F8-5E70-46A7-B231-6175C22ECAE3}"/>
    <cellStyle name="Normal 9 3 8 2 3" xfId="14019" xr:uid="{E586FCC1-F1AF-4269-A408-51BBDC6BE93F}"/>
    <cellStyle name="Normal 9 3 8 3" xfId="6504" xr:uid="{00000000-0005-0000-0000-00008F190000}"/>
    <cellStyle name="Normal 9 3 8 3 2" xfId="16095" xr:uid="{1D030A95-18DE-44C0-81B6-A8F33808933C}"/>
    <cellStyle name="Normal 9 3 8 4" xfId="11790" xr:uid="{7CEA5CBD-164B-47A4-A3E4-04CE5D1A2714}"/>
    <cellStyle name="Normal 9 3 9" xfId="2634" xr:uid="{00000000-0005-0000-0000-0000710A0000}"/>
    <cellStyle name="Normal 9 3 9 2" xfId="6917" xr:uid="{00000000-0005-0000-0000-00002C1B0000}"/>
    <cellStyle name="Normal 9 3 9 2 2" xfId="16508" xr:uid="{A034ABDA-ACCE-40BF-8F5D-41474372CEC0}"/>
    <cellStyle name="Normal 9 3 9 3" xfId="12226" xr:uid="{7BD53815-3D95-4926-940A-C20A20312862}"/>
    <cellStyle name="Normal 9 4" xfId="499" xr:uid="{00000000-0005-0000-0000-000017020000}"/>
    <cellStyle name="Normal 9 4 2" xfId="963" xr:uid="{00000000-0005-0000-0000-0000EA030000}"/>
    <cellStyle name="Normal 9 4 2 2" xfId="10556" xr:uid="{6616A93A-2D28-4A54-AC56-31F4F73AD0BB}"/>
    <cellStyle name="Normal 9 4 3" xfId="10097" xr:uid="{7F6548F2-0DDE-4032-8432-FF5141518FD6}"/>
    <cellStyle name="Normal 9 5" xfId="500" xr:uid="{00000000-0005-0000-0000-000018020000}"/>
    <cellStyle name="Normal 9 5 10" xfId="10098" xr:uid="{D5A1554C-ECE5-458B-B526-B2F8BBEC8546}"/>
    <cellStyle name="Normal 9 5 2" xfId="501" xr:uid="{00000000-0005-0000-0000-000019020000}"/>
    <cellStyle name="Normal 9 5 2 2" xfId="965" xr:uid="{00000000-0005-0000-0000-0000EC030000}"/>
    <cellStyle name="Normal 9 5 2 2 2" xfId="3197" xr:uid="{00000000-0005-0000-0000-0000A40C0000}"/>
    <cellStyle name="Normal 9 5 2 2 2 2" xfId="7419" xr:uid="{00000000-0005-0000-0000-0000221D0000}"/>
    <cellStyle name="Normal 9 5 2 2 2 2 2" xfId="17010" xr:uid="{562B3AF7-55B6-479F-BAE0-658568683E99}"/>
    <cellStyle name="Normal 9 5 2 2 2 3" xfId="12789" xr:uid="{8A94B311-5A75-49CF-9CB5-42F928B74B31}"/>
    <cellStyle name="Normal 9 5 2 2 3" xfId="5274" xr:uid="{00000000-0005-0000-0000-0000C1140000}"/>
    <cellStyle name="Normal 9 5 2 2 3 2" xfId="14865" xr:uid="{E20D9A3C-881F-429D-A2FD-246233BB7005}"/>
    <cellStyle name="Normal 9 5 2 2 4" xfId="9441" xr:uid="{00000000-0005-0000-0000-000008250000}"/>
    <cellStyle name="Normal 9 5 2 2 5" xfId="10558" xr:uid="{E98DD101-5BBD-46E9-AC20-41543ABC1DD8}"/>
    <cellStyle name="Normal 9 5 2 3" xfId="1380" xr:uid="{00000000-0005-0000-0000-00008B050000}"/>
    <cellStyle name="Normal 9 5 2 3 2" xfId="3610" xr:uid="{00000000-0005-0000-0000-0000410E0000}"/>
    <cellStyle name="Normal 9 5 2 3 2 2" xfId="7832" xr:uid="{00000000-0005-0000-0000-0000BF1E0000}"/>
    <cellStyle name="Normal 9 5 2 3 2 2 2" xfId="17423" xr:uid="{AC6D30B0-867D-4139-B57C-20B2B7481C93}"/>
    <cellStyle name="Normal 9 5 2 3 2 3" xfId="13202" xr:uid="{3C6FD707-15C6-4970-82D8-D1615E0F4C29}"/>
    <cellStyle name="Normal 9 5 2 3 3" xfId="5687" xr:uid="{00000000-0005-0000-0000-00005E160000}"/>
    <cellStyle name="Normal 9 5 2 3 3 2" xfId="15278" xr:uid="{B2B2BC56-592D-45BC-A2CA-9852423E355F}"/>
    <cellStyle name="Normal 9 5 2 3 4" xfId="10973" xr:uid="{9C324A3C-F99C-48B7-BAA3-592FD9195529}"/>
    <cellStyle name="Normal 9 5 2 4" xfId="1793" xr:uid="{00000000-0005-0000-0000-000028070000}"/>
    <cellStyle name="Normal 9 5 2 4 2" xfId="4023" xr:uid="{00000000-0005-0000-0000-0000DE0F0000}"/>
    <cellStyle name="Normal 9 5 2 4 2 2" xfId="8245" xr:uid="{00000000-0005-0000-0000-00005C200000}"/>
    <cellStyle name="Normal 9 5 2 4 2 2 2" xfId="17836" xr:uid="{C8EBD378-403A-44F9-9CE4-490876405C05}"/>
    <cellStyle name="Normal 9 5 2 4 2 3" xfId="13615" xr:uid="{CF387EE0-C5D1-493C-A94F-14EAA485799F}"/>
    <cellStyle name="Normal 9 5 2 4 3" xfId="6100" xr:uid="{00000000-0005-0000-0000-0000FB170000}"/>
    <cellStyle name="Normal 9 5 2 4 3 2" xfId="15691" xr:uid="{4803E82A-C217-4E6A-A69B-606D88247F3B}"/>
    <cellStyle name="Normal 9 5 2 4 4" xfId="11386" xr:uid="{6B71E01D-6F6E-43C0-852E-ABCE9675969B}"/>
    <cellStyle name="Normal 9 5 2 5" xfId="2207" xr:uid="{00000000-0005-0000-0000-0000C6080000}"/>
    <cellStyle name="Normal 9 5 2 5 2" xfId="4436" xr:uid="{00000000-0005-0000-0000-00007B110000}"/>
    <cellStyle name="Normal 9 5 2 5 2 2" xfId="8658" xr:uid="{00000000-0005-0000-0000-0000F9210000}"/>
    <cellStyle name="Normal 9 5 2 5 2 2 2" xfId="18249" xr:uid="{43BAB0A9-0D13-4EA4-B754-2DE21D9B0F5E}"/>
    <cellStyle name="Normal 9 5 2 5 2 3" xfId="14028" xr:uid="{0AA49FB2-8ADC-4FA6-AB40-D9F88AB991C5}"/>
    <cellStyle name="Normal 9 5 2 5 3" xfId="6513" xr:uid="{00000000-0005-0000-0000-000098190000}"/>
    <cellStyle name="Normal 9 5 2 5 3 2" xfId="16104" xr:uid="{B475CCEE-4FB0-4A4C-B217-DCBFDB314DD8}"/>
    <cellStyle name="Normal 9 5 2 5 4" xfId="11799" xr:uid="{CD9A0563-9377-4B32-B1E1-F54E2C0E2795}"/>
    <cellStyle name="Normal 9 5 2 6" xfId="2643" xr:uid="{00000000-0005-0000-0000-00007A0A0000}"/>
    <cellStyle name="Normal 9 5 2 6 2" xfId="6926" xr:uid="{00000000-0005-0000-0000-0000351B0000}"/>
    <cellStyle name="Normal 9 5 2 6 2 2" xfId="16517" xr:uid="{AE279B5E-2E18-4044-8C7D-A88B7B9405FD}"/>
    <cellStyle name="Normal 9 5 2 6 3" xfId="12235" xr:uid="{9AEBE150-E398-4124-B39D-472E45665C0C}"/>
    <cellStyle name="Normal 9 5 2 7" xfId="4861" xr:uid="{00000000-0005-0000-0000-000024130000}"/>
    <cellStyle name="Normal 9 5 2 7 2" xfId="14452" xr:uid="{B38ECB70-BD97-4A1E-B3C3-98D973A1F805}"/>
    <cellStyle name="Normal 9 5 2 8" xfId="9016" xr:uid="{00000000-0005-0000-0000-00005F230000}"/>
    <cellStyle name="Normal 9 5 2 9" xfId="10099" xr:uid="{13085EA3-E03A-47B0-ADA6-AF7A59B33BC7}"/>
    <cellStyle name="Normal 9 5 3" xfId="964" xr:uid="{00000000-0005-0000-0000-0000EB030000}"/>
    <cellStyle name="Normal 9 5 3 2" xfId="3196" xr:uid="{00000000-0005-0000-0000-0000A30C0000}"/>
    <cellStyle name="Normal 9 5 3 2 2" xfId="7418" xr:uid="{00000000-0005-0000-0000-0000211D0000}"/>
    <cellStyle name="Normal 9 5 3 2 2 2" xfId="17009" xr:uid="{C7746FB7-D344-4072-9287-F79F84B73FC0}"/>
    <cellStyle name="Normal 9 5 3 2 3" xfId="12788" xr:uid="{00DEBB46-A93F-4F88-A99B-3F6A4A535011}"/>
    <cellStyle name="Normal 9 5 3 3" xfId="5273" xr:uid="{00000000-0005-0000-0000-0000C0140000}"/>
    <cellStyle name="Normal 9 5 3 3 2" xfId="14864" xr:uid="{D18E135D-E7FB-4158-B9EE-389001E91783}"/>
    <cellStyle name="Normal 9 5 3 4" xfId="9234" xr:uid="{00000000-0005-0000-0000-000039240000}"/>
    <cellStyle name="Normal 9 5 3 5" xfId="10557" xr:uid="{E04417F5-64E6-4F8A-9E00-6C539AE32320}"/>
    <cellStyle name="Normal 9 5 4" xfId="1379" xr:uid="{00000000-0005-0000-0000-00008A050000}"/>
    <cellStyle name="Normal 9 5 4 2" xfId="3609" xr:uid="{00000000-0005-0000-0000-0000400E0000}"/>
    <cellStyle name="Normal 9 5 4 2 2" xfId="7831" xr:uid="{00000000-0005-0000-0000-0000BE1E0000}"/>
    <cellStyle name="Normal 9 5 4 2 2 2" xfId="17422" xr:uid="{F7906791-8819-4592-BEB1-850DF46A9DD7}"/>
    <cellStyle name="Normal 9 5 4 2 3" xfId="13201" xr:uid="{05786B30-157B-452D-A82A-1648D90A335C}"/>
    <cellStyle name="Normal 9 5 4 3" xfId="5686" xr:uid="{00000000-0005-0000-0000-00005D160000}"/>
    <cellStyle name="Normal 9 5 4 3 2" xfId="15277" xr:uid="{355A47B1-A5F5-49DC-ACDA-D11FFC46EB7B}"/>
    <cellStyle name="Normal 9 5 4 4" xfId="10972" xr:uid="{8D577154-6823-4104-B425-00084C61A546}"/>
    <cellStyle name="Normal 9 5 5" xfId="1792" xr:uid="{00000000-0005-0000-0000-000027070000}"/>
    <cellStyle name="Normal 9 5 5 2" xfId="4022" xr:uid="{00000000-0005-0000-0000-0000DD0F0000}"/>
    <cellStyle name="Normal 9 5 5 2 2" xfId="8244" xr:uid="{00000000-0005-0000-0000-00005B200000}"/>
    <cellStyle name="Normal 9 5 5 2 2 2" xfId="17835" xr:uid="{9D3D3B41-160A-4DFC-B399-510D754819CF}"/>
    <cellStyle name="Normal 9 5 5 2 3" xfId="13614" xr:uid="{6EED3B18-3E57-4E7A-8DAE-3F3383571B3C}"/>
    <cellStyle name="Normal 9 5 5 3" xfId="6099" xr:uid="{00000000-0005-0000-0000-0000FA170000}"/>
    <cellStyle name="Normal 9 5 5 3 2" xfId="15690" xr:uid="{1ED05A54-2EA6-418F-AF94-CBA12854BDAC}"/>
    <cellStyle name="Normal 9 5 5 4" xfId="11385" xr:uid="{6CA8BC31-2549-4FF6-8189-4839CEE96A13}"/>
    <cellStyle name="Normal 9 5 6" xfId="2206" xr:uid="{00000000-0005-0000-0000-0000C5080000}"/>
    <cellStyle name="Normal 9 5 6 2" xfId="4435" xr:uid="{00000000-0005-0000-0000-00007A110000}"/>
    <cellStyle name="Normal 9 5 6 2 2" xfId="8657" xr:uid="{00000000-0005-0000-0000-0000F8210000}"/>
    <cellStyle name="Normal 9 5 6 2 2 2" xfId="18248" xr:uid="{46424775-07D5-44F0-B23B-5B8145A429F0}"/>
    <cellStyle name="Normal 9 5 6 2 3" xfId="14027" xr:uid="{D983C837-B7B4-4E47-A991-55A4360A359E}"/>
    <cellStyle name="Normal 9 5 6 3" xfId="6512" xr:uid="{00000000-0005-0000-0000-000097190000}"/>
    <cellStyle name="Normal 9 5 6 3 2" xfId="16103" xr:uid="{463335A7-42AD-469F-9BCB-0C90C24501FE}"/>
    <cellStyle name="Normal 9 5 6 4" xfId="11798" xr:uid="{E1CAFFEE-AE70-4D6C-9FA2-B1B74374C291}"/>
    <cellStyle name="Normal 9 5 7" xfId="2642" xr:uid="{00000000-0005-0000-0000-0000790A0000}"/>
    <cellStyle name="Normal 9 5 7 2" xfId="6925" xr:uid="{00000000-0005-0000-0000-0000341B0000}"/>
    <cellStyle name="Normal 9 5 7 2 2" xfId="16516" xr:uid="{FE4603DE-7E96-4F3C-96AF-42C476465166}"/>
    <cellStyle name="Normal 9 5 7 3" xfId="12234" xr:uid="{67182F91-ABE7-4E1C-B70B-427121793EEA}"/>
    <cellStyle name="Normal 9 5 8" xfId="4860" xr:uid="{00000000-0005-0000-0000-000023130000}"/>
    <cellStyle name="Normal 9 5 8 2" xfId="14451" xr:uid="{4BAA434C-3A9D-44CC-8F30-534B7570D2E7}"/>
    <cellStyle name="Normal 9 5 9" xfId="8809" xr:uid="{00000000-0005-0000-0000-000090220000}"/>
    <cellStyle name="Normal 9 6" xfId="502" xr:uid="{00000000-0005-0000-0000-00001A020000}"/>
    <cellStyle name="Normal 9 6 2" xfId="966" xr:uid="{00000000-0005-0000-0000-0000ED030000}"/>
    <cellStyle name="Normal 9 6 2 2" xfId="3198" xr:uid="{00000000-0005-0000-0000-0000A50C0000}"/>
    <cellStyle name="Normal 9 6 2 2 2" xfId="7420" xr:uid="{00000000-0005-0000-0000-0000231D0000}"/>
    <cellStyle name="Normal 9 6 2 2 2 2" xfId="17011" xr:uid="{DD8EC175-599D-459E-A0DF-737015AF77AA}"/>
    <cellStyle name="Normal 9 6 2 2 3" xfId="12790" xr:uid="{7E975600-C340-4376-A780-7D786161C3F3}"/>
    <cellStyle name="Normal 9 6 2 3" xfId="5275" xr:uid="{00000000-0005-0000-0000-0000C2140000}"/>
    <cellStyle name="Normal 9 6 2 3 2" xfId="14866" xr:uid="{02085875-8BDA-4C60-9EB5-5DB9BBBD2190}"/>
    <cellStyle name="Normal 9 6 2 4" xfId="9350" xr:uid="{00000000-0005-0000-0000-0000AD240000}"/>
    <cellStyle name="Normal 9 6 2 5" xfId="10559" xr:uid="{A9DAF117-546D-4550-8A5A-9F708F6C046D}"/>
    <cellStyle name="Normal 9 6 3" xfId="1381" xr:uid="{00000000-0005-0000-0000-00008C050000}"/>
    <cellStyle name="Normal 9 6 3 2" xfId="3611" xr:uid="{00000000-0005-0000-0000-0000420E0000}"/>
    <cellStyle name="Normal 9 6 3 2 2" xfId="7833" xr:uid="{00000000-0005-0000-0000-0000C01E0000}"/>
    <cellStyle name="Normal 9 6 3 2 2 2" xfId="17424" xr:uid="{F184AED5-DDA9-47EB-A141-0D52C5D4B22A}"/>
    <cellStyle name="Normal 9 6 3 2 3" xfId="13203" xr:uid="{1810D10A-C8CD-4C52-9596-F6EAD46EE901}"/>
    <cellStyle name="Normal 9 6 3 3" xfId="5688" xr:uid="{00000000-0005-0000-0000-00005F160000}"/>
    <cellStyle name="Normal 9 6 3 3 2" xfId="15279" xr:uid="{9BC69B30-B3CF-468E-8D30-489E86FE1814}"/>
    <cellStyle name="Normal 9 6 3 4" xfId="10974" xr:uid="{4EC76281-095D-402A-B9CF-B3AC41A3E669}"/>
    <cellStyle name="Normal 9 6 4" xfId="1794" xr:uid="{00000000-0005-0000-0000-000029070000}"/>
    <cellStyle name="Normal 9 6 4 2" xfId="4024" xr:uid="{00000000-0005-0000-0000-0000DF0F0000}"/>
    <cellStyle name="Normal 9 6 4 2 2" xfId="8246" xr:uid="{00000000-0005-0000-0000-00005D200000}"/>
    <cellStyle name="Normal 9 6 4 2 2 2" xfId="17837" xr:uid="{2BFAFD8A-7E66-4473-8B01-32BDB1E92E7A}"/>
    <cellStyle name="Normal 9 6 4 2 3" xfId="13616" xr:uid="{91AB2DF5-371D-43D9-99B0-F3E8A6DFEBF0}"/>
    <cellStyle name="Normal 9 6 4 3" xfId="6101" xr:uid="{00000000-0005-0000-0000-0000FC170000}"/>
    <cellStyle name="Normal 9 6 4 3 2" xfId="15692" xr:uid="{A891B4D1-EFB2-41EA-BADC-30DD0827B263}"/>
    <cellStyle name="Normal 9 6 4 4" xfId="11387" xr:uid="{BBE4C1AD-156D-4126-9794-F457BA51A620}"/>
    <cellStyle name="Normal 9 6 5" xfId="2208" xr:uid="{00000000-0005-0000-0000-0000C7080000}"/>
    <cellStyle name="Normal 9 6 5 2" xfId="4437" xr:uid="{00000000-0005-0000-0000-00007C110000}"/>
    <cellStyle name="Normal 9 6 5 2 2" xfId="8659" xr:uid="{00000000-0005-0000-0000-0000FA210000}"/>
    <cellStyle name="Normal 9 6 5 2 2 2" xfId="18250" xr:uid="{68D8BC36-75E4-4E3F-A210-918C508573F4}"/>
    <cellStyle name="Normal 9 6 5 2 3" xfId="14029" xr:uid="{CA4510CF-1BA5-4AF6-977E-4839FA0DAA28}"/>
    <cellStyle name="Normal 9 6 5 3" xfId="6514" xr:uid="{00000000-0005-0000-0000-000099190000}"/>
    <cellStyle name="Normal 9 6 5 3 2" xfId="16105" xr:uid="{657F0B17-593A-4EA0-A99B-E41B13B3E8CA}"/>
    <cellStyle name="Normal 9 6 5 4" xfId="11800" xr:uid="{85B32A30-C187-4B41-B16F-F8C3967F49A4}"/>
    <cellStyle name="Normal 9 6 6" xfId="2644" xr:uid="{00000000-0005-0000-0000-00007B0A0000}"/>
    <cellStyle name="Normal 9 6 6 2" xfId="6927" xr:uid="{00000000-0005-0000-0000-0000361B0000}"/>
    <cellStyle name="Normal 9 6 6 2 2" xfId="16518" xr:uid="{417BCB0E-3510-42DE-9FAE-4E2D77ADAF86}"/>
    <cellStyle name="Normal 9 6 6 3" xfId="12236" xr:uid="{25AD5863-C544-4F6A-B573-FDC291C6D72A}"/>
    <cellStyle name="Normal 9 6 7" xfId="4862" xr:uid="{00000000-0005-0000-0000-000025130000}"/>
    <cellStyle name="Normal 9 6 7 2" xfId="14453" xr:uid="{822C083D-8194-43AC-8202-529A70F6F191}"/>
    <cellStyle name="Normal 9 6 8" xfId="8925" xr:uid="{00000000-0005-0000-0000-000004230000}"/>
    <cellStyle name="Normal 9 6 9" xfId="10100" xr:uid="{D8E54A75-2C4D-4456-9EB4-2A68B9EB0EB0}"/>
    <cellStyle name="Normal 9 7" xfId="938" xr:uid="{00000000-0005-0000-0000-0000D1030000}"/>
    <cellStyle name="Normal 9 7 2" xfId="9570" xr:uid="{00000000-0005-0000-0000-000089250000}"/>
    <cellStyle name="Normal 9 7 3" xfId="9128" xr:uid="{00000000-0005-0000-0000-0000CF230000}"/>
    <cellStyle name="Normal 9 7 4" xfId="10531" xr:uid="{EB4560F2-32DE-46BE-BB41-6FC68C2A7356}"/>
    <cellStyle name="Normal 9 8" xfId="8706" xr:uid="{00000000-0005-0000-0000-000029220000}"/>
    <cellStyle name="Normal 9 9" xfId="10072" xr:uid="{D88B6F12-C05D-4610-9131-00F9DCF2D075}"/>
    <cellStyle name="Normal_07-190 basis matrix" xfId="503" xr:uid="{00000000-0005-0000-0000-00001B020000}"/>
    <cellStyle name="Normal_07-190 basis matrix 2" xfId="504" xr:uid="{00000000-0005-0000-0000-00001C020000}"/>
    <cellStyle name="Normal_1" xfId="505" xr:uid="{00000000-0005-0000-0000-00001D020000}"/>
    <cellStyle name="Normal_100%RENTS" xfId="506" xr:uid="{00000000-0005-0000-0000-00001E020000}"/>
    <cellStyle name="Normal_Contact  Development Universal Application 8-02" xfId="8691" xr:uid="{00000000-0005-0000-0000-00001A220000}"/>
    <cellStyle name="Normal_CTCAC 9% Application 7-18-07 practice run 3" xfId="507" xr:uid="{00000000-0005-0000-0000-00001F020000}"/>
    <cellStyle name="Normal_CTCAC 9% Application 7-18-07 practice run 3 2 2" xfId="4458" xr:uid="{00000000-0005-0000-0000-000091110000}"/>
    <cellStyle name="Normal_CTCAC 9% Application 7-18-07 practice run 3 3" xfId="1795" xr:uid="{00000000-0005-0000-0000-00002A070000}"/>
    <cellStyle name="Note 2" xfId="508" xr:uid="{00000000-0005-0000-0000-000020020000}"/>
    <cellStyle name="Note 2 2" xfId="509" xr:uid="{00000000-0005-0000-0000-000021020000}"/>
    <cellStyle name="Note 2 2 10" xfId="2785" xr:uid="{00000000-0005-0000-0000-0000080B0000}"/>
    <cellStyle name="Note 2 2 10 2" xfId="7008" xr:uid="{00000000-0005-0000-0000-0000871B0000}"/>
    <cellStyle name="Note 2 2 10 2 2" xfId="16599" xr:uid="{CAE981E8-1E42-42B2-8F74-3DD75EE76AA2}"/>
    <cellStyle name="Note 2 2 10 3" xfId="12377" xr:uid="{B7444105-D5A8-4EE0-98C1-90B35B667AC3}"/>
    <cellStyle name="Note 2 2 11" xfId="4863" xr:uid="{00000000-0005-0000-0000-000026130000}"/>
    <cellStyle name="Note 2 2 11 2" xfId="14454" xr:uid="{6F15858A-A833-4692-9A74-66E652CCEC77}"/>
    <cellStyle name="Note 2 2 12" xfId="8802" xr:uid="{00000000-0005-0000-0000-000089220000}"/>
    <cellStyle name="Note 2 2 13" xfId="10102" xr:uid="{509D7A8A-A903-4370-B246-ACCA8EC0FD22}"/>
    <cellStyle name="Note 2 2 2" xfId="510" xr:uid="{00000000-0005-0000-0000-000022020000}"/>
    <cellStyle name="Note 2 2 2 10" xfId="4864" xr:uid="{00000000-0005-0000-0000-000027130000}"/>
    <cellStyle name="Note 2 2 2 10 2" xfId="14455" xr:uid="{8BC6BFF6-EFFC-49FA-908B-1DC4F27FA591}"/>
    <cellStyle name="Note 2 2 2 11" xfId="8905" xr:uid="{00000000-0005-0000-0000-0000F0220000}"/>
    <cellStyle name="Note 2 2 2 12" xfId="10103" xr:uid="{C22C8879-61CD-44FA-AFA9-F29884F5D116}"/>
    <cellStyle name="Note 2 2 2 2" xfId="511" xr:uid="{00000000-0005-0000-0000-000023020000}"/>
    <cellStyle name="Note 2 2 2 2 10" xfId="9112" xr:uid="{00000000-0005-0000-0000-0000BF230000}"/>
    <cellStyle name="Note 2 2 2 2 11" xfId="10104" xr:uid="{A667F321-BC89-48EF-A666-F99995CD7EDE}"/>
    <cellStyle name="Note 2 2 2 2 2" xfId="969" xr:uid="{00000000-0005-0000-0000-0000F0030000}"/>
    <cellStyle name="Note 2 2 2 2 2 2" xfId="3201" xr:uid="{00000000-0005-0000-0000-0000A80C0000}"/>
    <cellStyle name="Note 2 2 2 2 2 2 2" xfId="7423" xr:uid="{00000000-0005-0000-0000-0000261D0000}"/>
    <cellStyle name="Note 2 2 2 2 2 2 2 2" xfId="17014" xr:uid="{42E67EE7-F2CC-4BF8-B50A-E98D16CF8C08}"/>
    <cellStyle name="Note 2 2 2 2 2 2 3" xfId="12793" xr:uid="{BC47E217-AA47-4952-A191-3D88C0040EF2}"/>
    <cellStyle name="Note 2 2 2 2 2 3" xfId="5278" xr:uid="{00000000-0005-0000-0000-0000C5140000}"/>
    <cellStyle name="Note 2 2 2 2 2 3 2" xfId="14869" xr:uid="{EA3FC9CF-CD74-41C6-9E98-7AB9898D5329}"/>
    <cellStyle name="Note 2 2 2 2 2 4" xfId="9537" xr:uid="{00000000-0005-0000-0000-000068250000}"/>
    <cellStyle name="Note 2 2 2 2 2 5" xfId="10562" xr:uid="{1ED65EF4-88E7-49B6-93EE-6A746B812E20}"/>
    <cellStyle name="Note 2 2 2 2 3" xfId="1384" xr:uid="{00000000-0005-0000-0000-00008F050000}"/>
    <cellStyle name="Note 2 2 2 2 3 2" xfId="3614" xr:uid="{00000000-0005-0000-0000-0000450E0000}"/>
    <cellStyle name="Note 2 2 2 2 3 2 2" xfId="7836" xr:uid="{00000000-0005-0000-0000-0000C31E0000}"/>
    <cellStyle name="Note 2 2 2 2 3 2 2 2" xfId="17427" xr:uid="{DC35D879-AE56-4A8F-9B1B-15FDA8D50D2D}"/>
    <cellStyle name="Note 2 2 2 2 3 2 3" xfId="13206" xr:uid="{4F04C671-062E-45BA-A0C7-25ABB7765547}"/>
    <cellStyle name="Note 2 2 2 2 3 3" xfId="5691" xr:uid="{00000000-0005-0000-0000-000062160000}"/>
    <cellStyle name="Note 2 2 2 2 3 3 2" xfId="15282" xr:uid="{A1209EB5-EA4E-4B1E-9CCD-052606C776CC}"/>
    <cellStyle name="Note 2 2 2 2 3 4" xfId="10977" xr:uid="{EDDDFF7E-C25F-4738-9950-F1112F20917D}"/>
    <cellStyle name="Note 2 2 2 2 4" xfId="1798" xr:uid="{00000000-0005-0000-0000-00002D070000}"/>
    <cellStyle name="Note 2 2 2 2 4 2" xfId="4027" xr:uid="{00000000-0005-0000-0000-0000E20F0000}"/>
    <cellStyle name="Note 2 2 2 2 4 2 2" xfId="8249" xr:uid="{00000000-0005-0000-0000-000060200000}"/>
    <cellStyle name="Note 2 2 2 2 4 2 2 2" xfId="17840" xr:uid="{52D3B8E5-FA7B-4B92-B3C2-A5C09B294447}"/>
    <cellStyle name="Note 2 2 2 2 4 2 3" xfId="13619" xr:uid="{21209F37-5608-4424-B8E0-A921804881F1}"/>
    <cellStyle name="Note 2 2 2 2 4 3" xfId="6104" xr:uid="{00000000-0005-0000-0000-0000FF170000}"/>
    <cellStyle name="Note 2 2 2 2 4 3 2" xfId="15695" xr:uid="{0E291516-3ADF-4DA9-B238-F6E288F5F7E1}"/>
    <cellStyle name="Note 2 2 2 2 4 4" xfId="11390" xr:uid="{FB606471-2F5A-409D-A0F9-9F4002D70428}"/>
    <cellStyle name="Note 2 2 2 2 5" xfId="2211" xr:uid="{00000000-0005-0000-0000-0000CA080000}"/>
    <cellStyle name="Note 2 2 2 2 5 2" xfId="4440" xr:uid="{00000000-0005-0000-0000-00007F110000}"/>
    <cellStyle name="Note 2 2 2 2 5 2 2" xfId="8662" xr:uid="{00000000-0005-0000-0000-0000FD210000}"/>
    <cellStyle name="Note 2 2 2 2 5 2 2 2" xfId="18253" xr:uid="{D5469E84-9496-416E-A46F-B0DE3BD1FBE7}"/>
    <cellStyle name="Note 2 2 2 2 5 2 3" xfId="14032" xr:uid="{B3B80532-D24C-4C45-82C9-AB3E2D3708E8}"/>
    <cellStyle name="Note 2 2 2 2 5 3" xfId="6517" xr:uid="{00000000-0005-0000-0000-00009C190000}"/>
    <cellStyle name="Note 2 2 2 2 5 3 2" xfId="16108" xr:uid="{D7C00F0E-D2C7-4723-B33D-D5834953B545}"/>
    <cellStyle name="Note 2 2 2 2 5 4" xfId="11803" xr:uid="{CA363132-66C2-4416-935A-F40C692B5595}"/>
    <cellStyle name="Note 2 2 2 2 6" xfId="2647" xr:uid="{00000000-0005-0000-0000-00007E0A0000}"/>
    <cellStyle name="Note 2 2 2 2 6 2" xfId="6930" xr:uid="{00000000-0005-0000-0000-0000391B0000}"/>
    <cellStyle name="Note 2 2 2 2 6 2 2" xfId="16521" xr:uid="{4F71B602-97CD-4832-886C-E6B7B4E21114}"/>
    <cellStyle name="Note 2 2 2 2 6 3" xfId="12239" xr:uid="{66295BF3-A5A7-4722-8F31-E4C8D5BAD822}"/>
    <cellStyle name="Note 2 2 2 2 7" xfId="2706" xr:uid="{00000000-0005-0000-0000-0000B90A0000}"/>
    <cellStyle name="Note 2 2 2 2 7 2" xfId="12298" xr:uid="{6FB7B28E-F8A7-413A-BF82-BAA8A5B2020D}"/>
    <cellStyle name="Note 2 2 2 2 8" xfId="2787" xr:uid="{00000000-0005-0000-0000-00000A0B0000}"/>
    <cellStyle name="Note 2 2 2 2 8 2" xfId="7010" xr:uid="{00000000-0005-0000-0000-0000891B0000}"/>
    <cellStyle name="Note 2 2 2 2 8 2 2" xfId="16601" xr:uid="{6E2218CA-9374-42B8-BA0F-CCEA4FA521DF}"/>
    <cellStyle name="Note 2 2 2 2 8 3" xfId="12379" xr:uid="{773024C1-849A-48CC-AC3C-EBDD06318383}"/>
    <cellStyle name="Note 2 2 2 2 9" xfId="4865" xr:uid="{00000000-0005-0000-0000-000028130000}"/>
    <cellStyle name="Note 2 2 2 2 9 2" xfId="14456" xr:uid="{F628E44C-CACC-4A39-B001-4C9E6F3252A6}"/>
    <cellStyle name="Note 2 2 2 3" xfId="968" xr:uid="{00000000-0005-0000-0000-0000EF030000}"/>
    <cellStyle name="Note 2 2 2 3 2" xfId="3200" xr:uid="{00000000-0005-0000-0000-0000A70C0000}"/>
    <cellStyle name="Note 2 2 2 3 2 2" xfId="7422" xr:uid="{00000000-0005-0000-0000-0000251D0000}"/>
    <cellStyle name="Note 2 2 2 3 2 2 2" xfId="17013" xr:uid="{779C246A-B39C-4ED5-A273-6757F13FE17E}"/>
    <cellStyle name="Note 2 2 2 3 2 3" xfId="12792" xr:uid="{1E3DBEF8-9126-439D-B3D4-0EB790785839}"/>
    <cellStyle name="Note 2 2 2 3 3" xfId="5277" xr:uid="{00000000-0005-0000-0000-0000C4140000}"/>
    <cellStyle name="Note 2 2 2 3 3 2" xfId="14868" xr:uid="{872D71B7-9BAD-4585-990E-6481014D509D}"/>
    <cellStyle name="Note 2 2 2 3 4" xfId="9330" xr:uid="{00000000-0005-0000-0000-000099240000}"/>
    <cellStyle name="Note 2 2 2 3 5" xfId="10561" xr:uid="{A6D6CC77-9AF1-46DE-866C-DE3ADBEAD22D}"/>
    <cellStyle name="Note 2 2 2 4" xfId="1383" xr:uid="{00000000-0005-0000-0000-00008E050000}"/>
    <cellStyle name="Note 2 2 2 4 2" xfId="3613" xr:uid="{00000000-0005-0000-0000-0000440E0000}"/>
    <cellStyle name="Note 2 2 2 4 2 2" xfId="7835" xr:uid="{00000000-0005-0000-0000-0000C21E0000}"/>
    <cellStyle name="Note 2 2 2 4 2 2 2" xfId="17426" xr:uid="{2E9D481C-924D-4C7F-BDE5-8AC253EE75DA}"/>
    <cellStyle name="Note 2 2 2 4 2 3" xfId="13205" xr:uid="{16CF4C4F-81A6-4015-AC9C-AFB6FC6E3843}"/>
    <cellStyle name="Note 2 2 2 4 3" xfId="5690" xr:uid="{00000000-0005-0000-0000-000061160000}"/>
    <cellStyle name="Note 2 2 2 4 3 2" xfId="15281" xr:uid="{A3AC5511-D16F-4B5E-ADB6-EBDDF3E558F4}"/>
    <cellStyle name="Note 2 2 2 4 4" xfId="10976" xr:uid="{D6B6335B-3909-4E43-B98F-82491532B9E1}"/>
    <cellStyle name="Note 2 2 2 5" xfId="1797" xr:uid="{00000000-0005-0000-0000-00002C070000}"/>
    <cellStyle name="Note 2 2 2 5 2" xfId="4026" xr:uid="{00000000-0005-0000-0000-0000E10F0000}"/>
    <cellStyle name="Note 2 2 2 5 2 2" xfId="8248" xr:uid="{00000000-0005-0000-0000-00005F200000}"/>
    <cellStyle name="Note 2 2 2 5 2 2 2" xfId="17839" xr:uid="{E89DA2ED-3A71-4691-B071-5C61CC8216DA}"/>
    <cellStyle name="Note 2 2 2 5 2 3" xfId="13618" xr:uid="{790D05FB-3013-4A9A-BDE9-A4C05C457470}"/>
    <cellStyle name="Note 2 2 2 5 3" xfId="6103" xr:uid="{00000000-0005-0000-0000-0000FE170000}"/>
    <cellStyle name="Note 2 2 2 5 3 2" xfId="15694" xr:uid="{7248D0AC-07E9-4450-B381-CFCB794878A9}"/>
    <cellStyle name="Note 2 2 2 5 4" xfId="11389" xr:uid="{088C68EA-0455-4C77-B96C-B8E8B1AC644D}"/>
    <cellStyle name="Note 2 2 2 6" xfId="2210" xr:uid="{00000000-0005-0000-0000-0000C9080000}"/>
    <cellStyle name="Note 2 2 2 6 2" xfId="4439" xr:uid="{00000000-0005-0000-0000-00007E110000}"/>
    <cellStyle name="Note 2 2 2 6 2 2" xfId="8661" xr:uid="{00000000-0005-0000-0000-0000FC210000}"/>
    <cellStyle name="Note 2 2 2 6 2 2 2" xfId="18252" xr:uid="{0DEC6AD4-168B-4972-93DD-CC00457482FF}"/>
    <cellStyle name="Note 2 2 2 6 2 3" xfId="14031" xr:uid="{FD19B334-1795-44C0-B5C6-494D659FB75E}"/>
    <cellStyle name="Note 2 2 2 6 3" xfId="6516" xr:uid="{00000000-0005-0000-0000-00009B190000}"/>
    <cellStyle name="Note 2 2 2 6 3 2" xfId="16107" xr:uid="{E68D13CA-93C2-4071-96F7-81ABC77DF31B}"/>
    <cellStyle name="Note 2 2 2 6 4" xfId="11802" xr:uid="{64A372EB-0574-4B44-A9F9-78373D226409}"/>
    <cellStyle name="Note 2 2 2 7" xfId="2646" xr:uid="{00000000-0005-0000-0000-00007D0A0000}"/>
    <cellStyle name="Note 2 2 2 7 2" xfId="6929" xr:uid="{00000000-0005-0000-0000-0000381B0000}"/>
    <cellStyle name="Note 2 2 2 7 2 2" xfId="16520" xr:uid="{D4D32CF5-E01F-4863-B42A-6778D0E268E0}"/>
    <cellStyle name="Note 2 2 2 7 3" xfId="12238" xr:uid="{A106103C-0082-4C63-B467-D95693AB758B}"/>
    <cellStyle name="Note 2 2 2 8" xfId="2705" xr:uid="{00000000-0005-0000-0000-0000B80A0000}"/>
    <cellStyle name="Note 2 2 2 8 2" xfId="12297" xr:uid="{3EE26673-DB52-43C4-AE9F-9184023232E3}"/>
    <cellStyle name="Note 2 2 2 9" xfId="2786" xr:uid="{00000000-0005-0000-0000-0000090B0000}"/>
    <cellStyle name="Note 2 2 2 9 2" xfId="7009" xr:uid="{00000000-0005-0000-0000-0000881B0000}"/>
    <cellStyle name="Note 2 2 2 9 2 2" xfId="16600" xr:uid="{52ACA5BA-6D70-4737-8DAA-4A012A99048D}"/>
    <cellStyle name="Note 2 2 2 9 3" xfId="12378" xr:uid="{B0E14467-5FF5-4623-86CB-77597AE54748}"/>
    <cellStyle name="Note 2 2 3" xfId="512" xr:uid="{00000000-0005-0000-0000-000024020000}"/>
    <cellStyle name="Note 2 2 3 10" xfId="9009" xr:uid="{00000000-0005-0000-0000-000058230000}"/>
    <cellStyle name="Note 2 2 3 11" xfId="10105" xr:uid="{C8F35CF4-ABF4-463E-9464-A44678831CC8}"/>
    <cellStyle name="Note 2 2 3 2" xfId="970" xr:uid="{00000000-0005-0000-0000-0000F1030000}"/>
    <cellStyle name="Note 2 2 3 2 2" xfId="3202" xr:uid="{00000000-0005-0000-0000-0000A90C0000}"/>
    <cellStyle name="Note 2 2 3 2 2 2" xfId="7424" xr:uid="{00000000-0005-0000-0000-0000271D0000}"/>
    <cellStyle name="Note 2 2 3 2 2 2 2" xfId="17015" xr:uid="{01C356A1-461D-49E5-B327-793D774D123E}"/>
    <cellStyle name="Note 2 2 3 2 2 3" xfId="12794" xr:uid="{91FEE8AB-E216-4DF3-8CDD-DA6DB332EFAB}"/>
    <cellStyle name="Note 2 2 3 2 3" xfId="5279" xr:uid="{00000000-0005-0000-0000-0000C6140000}"/>
    <cellStyle name="Note 2 2 3 2 3 2" xfId="14870" xr:uid="{94D74EBC-D4F6-437E-ADFA-3828B663A596}"/>
    <cellStyle name="Note 2 2 3 2 4" xfId="9434" xr:uid="{00000000-0005-0000-0000-000001250000}"/>
    <cellStyle name="Note 2 2 3 2 5" xfId="10563" xr:uid="{871C8CF2-468F-458B-8D08-3E6A138F013F}"/>
    <cellStyle name="Note 2 2 3 3" xfId="1385" xr:uid="{00000000-0005-0000-0000-000090050000}"/>
    <cellStyle name="Note 2 2 3 3 2" xfId="3615" xr:uid="{00000000-0005-0000-0000-0000460E0000}"/>
    <cellStyle name="Note 2 2 3 3 2 2" xfId="7837" xr:uid="{00000000-0005-0000-0000-0000C41E0000}"/>
    <cellStyle name="Note 2 2 3 3 2 2 2" xfId="17428" xr:uid="{84BACA5D-6B92-41A6-932F-54BCA6667B4D}"/>
    <cellStyle name="Note 2 2 3 3 2 3" xfId="13207" xr:uid="{209ABFE3-1571-45ED-8012-C2918600C335}"/>
    <cellStyle name="Note 2 2 3 3 3" xfId="5692" xr:uid="{00000000-0005-0000-0000-000063160000}"/>
    <cellStyle name="Note 2 2 3 3 3 2" xfId="15283" xr:uid="{DB4CE010-7D31-465A-8DC6-F5664F8F44E6}"/>
    <cellStyle name="Note 2 2 3 3 4" xfId="10978" xr:uid="{095A8820-8F1D-44DD-98C0-4A5BF6D109C1}"/>
    <cellStyle name="Note 2 2 3 4" xfId="1799" xr:uid="{00000000-0005-0000-0000-00002E070000}"/>
    <cellStyle name="Note 2 2 3 4 2" xfId="4028" xr:uid="{00000000-0005-0000-0000-0000E30F0000}"/>
    <cellStyle name="Note 2 2 3 4 2 2" xfId="8250" xr:uid="{00000000-0005-0000-0000-000061200000}"/>
    <cellStyle name="Note 2 2 3 4 2 2 2" xfId="17841" xr:uid="{09C8CA1A-B743-4121-8BBF-F9403840C85A}"/>
    <cellStyle name="Note 2 2 3 4 2 3" xfId="13620" xr:uid="{64933102-3CB6-46BC-94ED-2A559C9F20BB}"/>
    <cellStyle name="Note 2 2 3 4 3" xfId="6105" xr:uid="{00000000-0005-0000-0000-000000180000}"/>
    <cellStyle name="Note 2 2 3 4 3 2" xfId="15696" xr:uid="{F3CA2D0E-E29E-43AC-9F34-81B3E2A0BEBA}"/>
    <cellStyle name="Note 2 2 3 4 4" xfId="11391" xr:uid="{01BF08ED-43E0-4207-89DA-C3B057C9B5F6}"/>
    <cellStyle name="Note 2 2 3 5" xfId="2212" xr:uid="{00000000-0005-0000-0000-0000CB080000}"/>
    <cellStyle name="Note 2 2 3 5 2" xfId="4441" xr:uid="{00000000-0005-0000-0000-000080110000}"/>
    <cellStyle name="Note 2 2 3 5 2 2" xfId="8663" xr:uid="{00000000-0005-0000-0000-0000FE210000}"/>
    <cellStyle name="Note 2 2 3 5 2 2 2" xfId="18254" xr:uid="{8E49DFCB-9DF4-4DC1-9704-1B1A9CEAD796}"/>
    <cellStyle name="Note 2 2 3 5 2 3" xfId="14033" xr:uid="{00A6ADD0-F3CE-4593-A5E8-52DA235885F0}"/>
    <cellStyle name="Note 2 2 3 5 3" xfId="6518" xr:uid="{00000000-0005-0000-0000-00009D190000}"/>
    <cellStyle name="Note 2 2 3 5 3 2" xfId="16109" xr:uid="{30FFEFE1-F603-44BB-A5D1-2022BAC2E3E2}"/>
    <cellStyle name="Note 2 2 3 5 4" xfId="11804" xr:uid="{2A6A57D7-2304-4BD9-B417-629A46B36932}"/>
    <cellStyle name="Note 2 2 3 6" xfId="2648" xr:uid="{00000000-0005-0000-0000-00007F0A0000}"/>
    <cellStyle name="Note 2 2 3 6 2" xfId="6931" xr:uid="{00000000-0005-0000-0000-00003A1B0000}"/>
    <cellStyle name="Note 2 2 3 6 2 2" xfId="16522" xr:uid="{D375E78C-C3CB-42A9-B49A-4D8266A807E6}"/>
    <cellStyle name="Note 2 2 3 6 3" xfId="12240" xr:uid="{7A4E999B-2B4D-479E-A131-2483BE4E95CA}"/>
    <cellStyle name="Note 2 2 3 7" xfId="2707" xr:uid="{00000000-0005-0000-0000-0000BA0A0000}"/>
    <cellStyle name="Note 2 2 3 7 2" xfId="12299" xr:uid="{E0A82651-07D0-4915-BC06-F942E7E973F6}"/>
    <cellStyle name="Note 2 2 3 8" xfId="2788" xr:uid="{00000000-0005-0000-0000-00000B0B0000}"/>
    <cellStyle name="Note 2 2 3 8 2" xfId="7011" xr:uid="{00000000-0005-0000-0000-00008A1B0000}"/>
    <cellStyle name="Note 2 2 3 8 2 2" xfId="16602" xr:uid="{E1E9218B-F4EE-44A8-A379-04A7FD538083}"/>
    <cellStyle name="Note 2 2 3 8 3" xfId="12380" xr:uid="{527165E9-7E7C-4165-9815-26B9861A6FD3}"/>
    <cellStyle name="Note 2 2 3 9" xfId="4866" xr:uid="{00000000-0005-0000-0000-000029130000}"/>
    <cellStyle name="Note 2 2 3 9 2" xfId="14457" xr:uid="{843380CE-093C-46C7-BAB4-1836A00E13DA}"/>
    <cellStyle name="Note 2 2 4" xfId="967" xr:uid="{00000000-0005-0000-0000-0000EE030000}"/>
    <cellStyle name="Note 2 2 4 2" xfId="3199" xr:uid="{00000000-0005-0000-0000-0000A60C0000}"/>
    <cellStyle name="Note 2 2 4 2 2" xfId="7421" xr:uid="{00000000-0005-0000-0000-0000241D0000}"/>
    <cellStyle name="Note 2 2 4 2 2 2" xfId="17012" xr:uid="{53C5AA10-FBE7-4EDD-9C36-C05665D0D24D}"/>
    <cellStyle name="Note 2 2 4 2 3" xfId="12791" xr:uid="{BC392D34-226D-46D5-A375-F7517DAA12C6}"/>
    <cellStyle name="Note 2 2 4 3" xfId="5276" xr:uid="{00000000-0005-0000-0000-0000C3140000}"/>
    <cellStyle name="Note 2 2 4 3 2" xfId="14867" xr:uid="{FA0A0670-1794-46A1-A91B-1044D784A717}"/>
    <cellStyle name="Note 2 2 4 4" xfId="9227" xr:uid="{00000000-0005-0000-0000-000032240000}"/>
    <cellStyle name="Note 2 2 4 5" xfId="10560" xr:uid="{56AA166F-58A2-498B-B466-0348517A180E}"/>
    <cellStyle name="Note 2 2 5" xfId="1382" xr:uid="{00000000-0005-0000-0000-00008D050000}"/>
    <cellStyle name="Note 2 2 5 2" xfId="3612" xr:uid="{00000000-0005-0000-0000-0000430E0000}"/>
    <cellStyle name="Note 2 2 5 2 2" xfId="7834" xr:uid="{00000000-0005-0000-0000-0000C11E0000}"/>
    <cellStyle name="Note 2 2 5 2 2 2" xfId="17425" xr:uid="{42CDEF4A-383E-438A-8D4C-DA9984E44EA7}"/>
    <cellStyle name="Note 2 2 5 2 3" xfId="13204" xr:uid="{A8E32C02-5A6A-4D6B-A5D5-2ECF6F513EDC}"/>
    <cellStyle name="Note 2 2 5 3" xfId="5689" xr:uid="{00000000-0005-0000-0000-000060160000}"/>
    <cellStyle name="Note 2 2 5 3 2" xfId="15280" xr:uid="{42E79CE3-59D4-4BAE-939C-14D4A87ACB8C}"/>
    <cellStyle name="Note 2 2 5 4" xfId="10975" xr:uid="{D1410A05-7F88-4FF2-898E-1F2E3A2F4AA8}"/>
    <cellStyle name="Note 2 2 6" xfId="1796" xr:uid="{00000000-0005-0000-0000-00002B070000}"/>
    <cellStyle name="Note 2 2 6 2" xfId="4025" xr:uid="{00000000-0005-0000-0000-0000E00F0000}"/>
    <cellStyle name="Note 2 2 6 2 2" xfId="8247" xr:uid="{00000000-0005-0000-0000-00005E200000}"/>
    <cellStyle name="Note 2 2 6 2 2 2" xfId="17838" xr:uid="{A978AE38-89C2-447C-9A76-7D6B42BA5B44}"/>
    <cellStyle name="Note 2 2 6 2 3" xfId="13617" xr:uid="{6CDC171D-8F40-484E-ACF0-9921BE117F93}"/>
    <cellStyle name="Note 2 2 6 3" xfId="6102" xr:uid="{00000000-0005-0000-0000-0000FD170000}"/>
    <cellStyle name="Note 2 2 6 3 2" xfId="15693" xr:uid="{6429924D-89A2-42D4-9B61-CD25D312E2BA}"/>
    <cellStyle name="Note 2 2 6 4" xfId="11388" xr:uid="{6F6B5E53-A092-4166-9DE1-5201AE6F0F05}"/>
    <cellStyle name="Note 2 2 7" xfId="2209" xr:uid="{00000000-0005-0000-0000-0000C8080000}"/>
    <cellStyle name="Note 2 2 7 2" xfId="4438" xr:uid="{00000000-0005-0000-0000-00007D110000}"/>
    <cellStyle name="Note 2 2 7 2 2" xfId="8660" xr:uid="{00000000-0005-0000-0000-0000FB210000}"/>
    <cellStyle name="Note 2 2 7 2 2 2" xfId="18251" xr:uid="{7FF985AD-D7BC-4C0C-B144-22AB5988DF18}"/>
    <cellStyle name="Note 2 2 7 2 3" xfId="14030" xr:uid="{3D4A56D9-10E6-48B3-AD46-E3416AF3F5C5}"/>
    <cellStyle name="Note 2 2 7 3" xfId="6515" xr:uid="{00000000-0005-0000-0000-00009A190000}"/>
    <cellStyle name="Note 2 2 7 3 2" xfId="16106" xr:uid="{6F87123C-D61B-49A6-82D2-BB16BEF701E5}"/>
    <cellStyle name="Note 2 2 7 4" xfId="11801" xr:uid="{E9D10530-FABA-46ED-8F4E-0B6CF8DC2CEA}"/>
    <cellStyle name="Note 2 2 8" xfId="2645" xr:uid="{00000000-0005-0000-0000-00007C0A0000}"/>
    <cellStyle name="Note 2 2 8 2" xfId="6928" xr:uid="{00000000-0005-0000-0000-0000371B0000}"/>
    <cellStyle name="Note 2 2 8 2 2" xfId="16519" xr:uid="{A76881A1-B40F-4792-9C21-77BA0B83D847}"/>
    <cellStyle name="Note 2 2 8 3" xfId="12237" xr:uid="{C6222798-A870-427C-9A48-E00278A894D6}"/>
    <cellStyle name="Note 2 2 9" xfId="2704" xr:uid="{00000000-0005-0000-0000-0000B70A0000}"/>
    <cellStyle name="Note 2 2 9 2" xfId="12296" xr:uid="{C0A91C60-263F-405D-9207-2BD47FABF023}"/>
    <cellStyle name="Note 2 3" xfId="513" xr:uid="{00000000-0005-0000-0000-000025020000}"/>
    <cellStyle name="Note 2 3 10" xfId="4867" xr:uid="{00000000-0005-0000-0000-00002A130000}"/>
    <cellStyle name="Note 2 3 10 2" xfId="14458" xr:uid="{FEDD4244-5F9A-4B87-8CE6-FC68DC6E1ADD}"/>
    <cellStyle name="Note 2 3 11" xfId="8855" xr:uid="{00000000-0005-0000-0000-0000BE220000}"/>
    <cellStyle name="Note 2 3 12" xfId="10106" xr:uid="{72B17739-785C-4C6D-9E08-DDA522078353}"/>
    <cellStyle name="Note 2 3 2" xfId="514" xr:uid="{00000000-0005-0000-0000-000026020000}"/>
    <cellStyle name="Note 2 3 2 10" xfId="9062" xr:uid="{00000000-0005-0000-0000-00008D230000}"/>
    <cellStyle name="Note 2 3 2 11" xfId="10107" xr:uid="{9DE36B9B-FE6C-4F4B-AD87-D0B295450AFE}"/>
    <cellStyle name="Note 2 3 2 2" xfId="972" xr:uid="{00000000-0005-0000-0000-0000F3030000}"/>
    <cellStyle name="Note 2 3 2 2 2" xfId="3204" xr:uid="{00000000-0005-0000-0000-0000AB0C0000}"/>
    <cellStyle name="Note 2 3 2 2 2 2" xfId="7426" xr:uid="{00000000-0005-0000-0000-0000291D0000}"/>
    <cellStyle name="Note 2 3 2 2 2 2 2" xfId="17017" xr:uid="{B4016565-FF31-40E0-9765-C722FD3CE46F}"/>
    <cellStyle name="Note 2 3 2 2 2 3" xfId="12796" xr:uid="{2B3FEDDD-F6D0-487D-ABC8-B5AF350357F3}"/>
    <cellStyle name="Note 2 3 2 2 3" xfId="5281" xr:uid="{00000000-0005-0000-0000-0000C8140000}"/>
    <cellStyle name="Note 2 3 2 2 3 2" xfId="14872" xr:uid="{99EA6837-BA8D-4F4E-8E27-986C0718BD9B}"/>
    <cellStyle name="Note 2 3 2 2 4" xfId="9487" xr:uid="{00000000-0005-0000-0000-000036250000}"/>
    <cellStyle name="Note 2 3 2 2 5" xfId="10565" xr:uid="{50C46BD4-6D17-49D1-8B60-04B18F6DC520}"/>
    <cellStyle name="Note 2 3 2 3" xfId="1387" xr:uid="{00000000-0005-0000-0000-000092050000}"/>
    <cellStyle name="Note 2 3 2 3 2" xfId="3617" xr:uid="{00000000-0005-0000-0000-0000480E0000}"/>
    <cellStyle name="Note 2 3 2 3 2 2" xfId="7839" xr:uid="{00000000-0005-0000-0000-0000C61E0000}"/>
    <cellStyle name="Note 2 3 2 3 2 2 2" xfId="17430" xr:uid="{6A4C60B8-CDE7-4902-A855-3763C5C1D891}"/>
    <cellStyle name="Note 2 3 2 3 2 3" xfId="13209" xr:uid="{7DF16202-DDDC-48B7-A8C7-F8AC427520BC}"/>
    <cellStyle name="Note 2 3 2 3 3" xfId="5694" xr:uid="{00000000-0005-0000-0000-000065160000}"/>
    <cellStyle name="Note 2 3 2 3 3 2" xfId="15285" xr:uid="{6C704F00-F7D6-405F-B938-2A834AAB41BD}"/>
    <cellStyle name="Note 2 3 2 3 4" xfId="10980" xr:uid="{81DED68F-4D5A-4547-ADD1-CF586F09357A}"/>
    <cellStyle name="Note 2 3 2 4" xfId="1801" xr:uid="{00000000-0005-0000-0000-000030070000}"/>
    <cellStyle name="Note 2 3 2 4 2" xfId="4030" xr:uid="{00000000-0005-0000-0000-0000E50F0000}"/>
    <cellStyle name="Note 2 3 2 4 2 2" xfId="8252" xr:uid="{00000000-0005-0000-0000-000063200000}"/>
    <cellStyle name="Note 2 3 2 4 2 2 2" xfId="17843" xr:uid="{C7304688-6D40-4658-9DAD-4652DD0723D6}"/>
    <cellStyle name="Note 2 3 2 4 2 3" xfId="13622" xr:uid="{01F6401E-95D6-467D-AEC1-316B4A7FDE49}"/>
    <cellStyle name="Note 2 3 2 4 3" xfId="6107" xr:uid="{00000000-0005-0000-0000-000002180000}"/>
    <cellStyle name="Note 2 3 2 4 3 2" xfId="15698" xr:uid="{45338677-6E5E-4821-BB6C-CBD40F233BBE}"/>
    <cellStyle name="Note 2 3 2 4 4" xfId="11393" xr:uid="{7C705DBC-6E58-4C81-9F17-9E34DEA3D30F}"/>
    <cellStyle name="Note 2 3 2 5" xfId="2214" xr:uid="{00000000-0005-0000-0000-0000CD080000}"/>
    <cellStyle name="Note 2 3 2 5 2" xfId="4443" xr:uid="{00000000-0005-0000-0000-000082110000}"/>
    <cellStyle name="Note 2 3 2 5 2 2" xfId="8665" xr:uid="{00000000-0005-0000-0000-000000220000}"/>
    <cellStyle name="Note 2 3 2 5 2 2 2" xfId="18256" xr:uid="{E8F4D9D7-F551-4201-AAA2-9CD43126CF6B}"/>
    <cellStyle name="Note 2 3 2 5 2 3" xfId="14035" xr:uid="{2C7D569B-B5B9-4446-8019-01D65AE7DE8A}"/>
    <cellStyle name="Note 2 3 2 5 3" xfId="6520" xr:uid="{00000000-0005-0000-0000-00009F190000}"/>
    <cellStyle name="Note 2 3 2 5 3 2" xfId="16111" xr:uid="{27045BD6-A2B2-4208-BE8D-5E2CFE084B27}"/>
    <cellStyle name="Note 2 3 2 5 4" xfId="11806" xr:uid="{1B1344BC-719C-4041-A3D5-7A0451396FA1}"/>
    <cellStyle name="Note 2 3 2 6" xfId="2650" xr:uid="{00000000-0005-0000-0000-0000810A0000}"/>
    <cellStyle name="Note 2 3 2 6 2" xfId="6933" xr:uid="{00000000-0005-0000-0000-00003C1B0000}"/>
    <cellStyle name="Note 2 3 2 6 2 2" xfId="16524" xr:uid="{F6CBDB5A-601E-44CD-8B56-CAE5FD557A58}"/>
    <cellStyle name="Note 2 3 2 6 3" xfId="12242" xr:uid="{34452869-565C-4FA5-A970-35F73E143489}"/>
    <cellStyle name="Note 2 3 2 7" xfId="2709" xr:uid="{00000000-0005-0000-0000-0000BC0A0000}"/>
    <cellStyle name="Note 2 3 2 7 2" xfId="12301" xr:uid="{6B33C464-2A71-431D-BC7D-ED0195E0E1E2}"/>
    <cellStyle name="Note 2 3 2 8" xfId="2790" xr:uid="{00000000-0005-0000-0000-00000D0B0000}"/>
    <cellStyle name="Note 2 3 2 8 2" xfId="7013" xr:uid="{00000000-0005-0000-0000-00008C1B0000}"/>
    <cellStyle name="Note 2 3 2 8 2 2" xfId="16604" xr:uid="{25E4BAA5-0B9C-4E89-AE36-FA1BAAF90E7B}"/>
    <cellStyle name="Note 2 3 2 8 3" xfId="12382" xr:uid="{EADBB1E4-7028-48B5-B027-06E299DF920E}"/>
    <cellStyle name="Note 2 3 2 9" xfId="4868" xr:uid="{00000000-0005-0000-0000-00002B130000}"/>
    <cellStyle name="Note 2 3 2 9 2" xfId="14459" xr:uid="{F13AD8AF-A8BA-425E-8B90-5BC74461BDCE}"/>
    <cellStyle name="Note 2 3 3" xfId="971" xr:uid="{00000000-0005-0000-0000-0000F2030000}"/>
    <cellStyle name="Note 2 3 3 2" xfId="3203" xr:uid="{00000000-0005-0000-0000-0000AA0C0000}"/>
    <cellStyle name="Note 2 3 3 2 2" xfId="7425" xr:uid="{00000000-0005-0000-0000-0000281D0000}"/>
    <cellStyle name="Note 2 3 3 2 2 2" xfId="17016" xr:uid="{22AB9453-2519-4129-B4B1-AF2F853058CF}"/>
    <cellStyle name="Note 2 3 3 2 3" xfId="12795" xr:uid="{5FCD8690-F01A-488C-AF9C-22E63A71AA05}"/>
    <cellStyle name="Note 2 3 3 3" xfId="5280" xr:uid="{00000000-0005-0000-0000-0000C7140000}"/>
    <cellStyle name="Note 2 3 3 3 2" xfId="14871" xr:uid="{BA794DDA-2BDB-4763-8882-0247CF660734}"/>
    <cellStyle name="Note 2 3 3 4" xfId="9280" xr:uid="{00000000-0005-0000-0000-000067240000}"/>
    <cellStyle name="Note 2 3 3 5" xfId="10564" xr:uid="{52446DA7-1C2C-4988-B4FD-0A02F3C56D1A}"/>
    <cellStyle name="Note 2 3 4" xfId="1386" xr:uid="{00000000-0005-0000-0000-000091050000}"/>
    <cellStyle name="Note 2 3 4 2" xfId="3616" xr:uid="{00000000-0005-0000-0000-0000470E0000}"/>
    <cellStyle name="Note 2 3 4 2 2" xfId="7838" xr:uid="{00000000-0005-0000-0000-0000C51E0000}"/>
    <cellStyle name="Note 2 3 4 2 2 2" xfId="17429" xr:uid="{E2977447-9C0B-488C-9436-E162F179D1D3}"/>
    <cellStyle name="Note 2 3 4 2 3" xfId="13208" xr:uid="{B4415269-82C7-470D-8AFF-829A473C82E5}"/>
    <cellStyle name="Note 2 3 4 3" xfId="5693" xr:uid="{00000000-0005-0000-0000-000064160000}"/>
    <cellStyle name="Note 2 3 4 3 2" xfId="15284" xr:uid="{B863F08A-EE4F-4CA1-8967-2A91BB544BF0}"/>
    <cellStyle name="Note 2 3 4 4" xfId="10979" xr:uid="{2796ED55-26FF-4239-861B-ACB441D37CA9}"/>
    <cellStyle name="Note 2 3 5" xfId="1800" xr:uid="{00000000-0005-0000-0000-00002F070000}"/>
    <cellStyle name="Note 2 3 5 2" xfId="4029" xr:uid="{00000000-0005-0000-0000-0000E40F0000}"/>
    <cellStyle name="Note 2 3 5 2 2" xfId="8251" xr:uid="{00000000-0005-0000-0000-000062200000}"/>
    <cellStyle name="Note 2 3 5 2 2 2" xfId="17842" xr:uid="{D8C100DB-9031-43B2-B833-FF960F97F755}"/>
    <cellStyle name="Note 2 3 5 2 3" xfId="13621" xr:uid="{1F556FCD-FCBB-4C8A-8D41-BA6950C30DE7}"/>
    <cellStyle name="Note 2 3 5 3" xfId="6106" xr:uid="{00000000-0005-0000-0000-000001180000}"/>
    <cellStyle name="Note 2 3 5 3 2" xfId="15697" xr:uid="{9EA19C58-215B-4A12-AA9D-2218EC24C6E8}"/>
    <cellStyle name="Note 2 3 5 4" xfId="11392" xr:uid="{E8494B6D-449C-47FB-8515-E06350B37C64}"/>
    <cellStyle name="Note 2 3 6" xfId="2213" xr:uid="{00000000-0005-0000-0000-0000CC080000}"/>
    <cellStyle name="Note 2 3 6 2" xfId="4442" xr:uid="{00000000-0005-0000-0000-000081110000}"/>
    <cellStyle name="Note 2 3 6 2 2" xfId="8664" xr:uid="{00000000-0005-0000-0000-0000FF210000}"/>
    <cellStyle name="Note 2 3 6 2 2 2" xfId="18255" xr:uid="{2191E26C-3306-4590-AC9D-FD13A91516FA}"/>
    <cellStyle name="Note 2 3 6 2 3" xfId="14034" xr:uid="{E1FD3C5E-F55C-435B-9A4B-AA8D2A1F2E84}"/>
    <cellStyle name="Note 2 3 6 3" xfId="6519" xr:uid="{00000000-0005-0000-0000-00009E190000}"/>
    <cellStyle name="Note 2 3 6 3 2" xfId="16110" xr:uid="{5CCD306C-EBE0-43E6-93C8-F63C3299CE9E}"/>
    <cellStyle name="Note 2 3 6 4" xfId="11805" xr:uid="{B1242348-88D4-43C2-984E-9CF0BCF24744}"/>
    <cellStyle name="Note 2 3 7" xfId="2649" xr:uid="{00000000-0005-0000-0000-0000800A0000}"/>
    <cellStyle name="Note 2 3 7 2" xfId="6932" xr:uid="{00000000-0005-0000-0000-00003B1B0000}"/>
    <cellStyle name="Note 2 3 7 2 2" xfId="16523" xr:uid="{DAD21C8F-3284-44C7-973E-34CFB0D4434F}"/>
    <cellStyle name="Note 2 3 7 3" xfId="12241" xr:uid="{3690FDA4-5EFE-48DE-AF05-67EA45507998}"/>
    <cellStyle name="Note 2 3 8" xfId="2708" xr:uid="{00000000-0005-0000-0000-0000BB0A0000}"/>
    <cellStyle name="Note 2 3 8 2" xfId="12300" xr:uid="{6107C90C-4C0E-4116-A2B8-7929D65DEFF1}"/>
    <cellStyle name="Note 2 3 9" xfId="2789" xr:uid="{00000000-0005-0000-0000-00000C0B0000}"/>
    <cellStyle name="Note 2 3 9 2" xfId="7012" xr:uid="{00000000-0005-0000-0000-00008B1B0000}"/>
    <cellStyle name="Note 2 3 9 2 2" xfId="16603" xr:uid="{5F12CF59-10AD-4630-8D6A-2E59847F4DBB}"/>
    <cellStyle name="Note 2 3 9 3" xfId="12381" xr:uid="{B45CC1DD-3A9D-48A7-AAD9-ACAE08DE28A9}"/>
    <cellStyle name="Note 2 4" xfId="515" xr:uid="{00000000-0005-0000-0000-000027020000}"/>
    <cellStyle name="Note 2 4 10" xfId="8959" xr:uid="{00000000-0005-0000-0000-000026230000}"/>
    <cellStyle name="Note 2 4 11" xfId="10108" xr:uid="{7007ECAF-8FA9-4D46-8454-CAA919163E0F}"/>
    <cellStyle name="Note 2 4 2" xfId="973" xr:uid="{00000000-0005-0000-0000-0000F4030000}"/>
    <cellStyle name="Note 2 4 2 2" xfId="3205" xr:uid="{00000000-0005-0000-0000-0000AC0C0000}"/>
    <cellStyle name="Note 2 4 2 2 2" xfId="7427" xr:uid="{00000000-0005-0000-0000-00002A1D0000}"/>
    <cellStyle name="Note 2 4 2 2 2 2" xfId="17018" xr:uid="{716BC001-B362-432E-A14E-D67CF3DA7410}"/>
    <cellStyle name="Note 2 4 2 2 3" xfId="12797" xr:uid="{AA371757-055B-4836-BB39-EA8E98FC79B9}"/>
    <cellStyle name="Note 2 4 2 3" xfId="5282" xr:uid="{00000000-0005-0000-0000-0000C9140000}"/>
    <cellStyle name="Note 2 4 2 3 2" xfId="14873" xr:uid="{788ADA8D-8114-479B-88C5-E1A20F136E6E}"/>
    <cellStyle name="Note 2 4 2 4" xfId="9384" xr:uid="{00000000-0005-0000-0000-0000CF240000}"/>
    <cellStyle name="Note 2 4 2 5" xfId="10566" xr:uid="{50B38675-06EB-4023-8FFD-5C8C75CA9224}"/>
    <cellStyle name="Note 2 4 3" xfId="1388" xr:uid="{00000000-0005-0000-0000-000093050000}"/>
    <cellStyle name="Note 2 4 3 2" xfId="3618" xr:uid="{00000000-0005-0000-0000-0000490E0000}"/>
    <cellStyle name="Note 2 4 3 2 2" xfId="7840" xr:uid="{00000000-0005-0000-0000-0000C71E0000}"/>
    <cellStyle name="Note 2 4 3 2 2 2" xfId="17431" xr:uid="{D2B40E78-3A15-4598-A383-3F03B8A40F4D}"/>
    <cellStyle name="Note 2 4 3 2 3" xfId="13210" xr:uid="{154A5B30-90EB-4981-87C9-A5B2F9F258FE}"/>
    <cellStyle name="Note 2 4 3 3" xfId="5695" xr:uid="{00000000-0005-0000-0000-000066160000}"/>
    <cellStyle name="Note 2 4 3 3 2" xfId="15286" xr:uid="{6E7335D6-BBB5-445D-9175-57B64BB3035D}"/>
    <cellStyle name="Note 2 4 3 4" xfId="10981" xr:uid="{169F2B0A-B465-43E2-AC0D-FD4F55397FB3}"/>
    <cellStyle name="Note 2 4 4" xfId="1802" xr:uid="{00000000-0005-0000-0000-000031070000}"/>
    <cellStyle name="Note 2 4 4 2" xfId="4031" xr:uid="{00000000-0005-0000-0000-0000E60F0000}"/>
    <cellStyle name="Note 2 4 4 2 2" xfId="8253" xr:uid="{00000000-0005-0000-0000-000064200000}"/>
    <cellStyle name="Note 2 4 4 2 2 2" xfId="17844" xr:uid="{FDB0CC78-2714-4CB5-AFB8-45297E29A1B3}"/>
    <cellStyle name="Note 2 4 4 2 3" xfId="13623" xr:uid="{D668090B-C4AB-4957-98A2-620D75A17B08}"/>
    <cellStyle name="Note 2 4 4 3" xfId="6108" xr:uid="{00000000-0005-0000-0000-000003180000}"/>
    <cellStyle name="Note 2 4 4 3 2" xfId="15699" xr:uid="{E1C3DA2D-7F04-431D-A7CE-24F1A0B96276}"/>
    <cellStyle name="Note 2 4 4 4" xfId="11394" xr:uid="{D24FBDBF-CDBF-4479-83D9-4F5044363C0C}"/>
    <cellStyle name="Note 2 4 5" xfId="2215" xr:uid="{00000000-0005-0000-0000-0000CE080000}"/>
    <cellStyle name="Note 2 4 5 2" xfId="4444" xr:uid="{00000000-0005-0000-0000-000083110000}"/>
    <cellStyle name="Note 2 4 5 2 2" xfId="8666" xr:uid="{00000000-0005-0000-0000-000001220000}"/>
    <cellStyle name="Note 2 4 5 2 2 2" xfId="18257" xr:uid="{16E0E6FB-A1D4-42BA-AAAF-FF6C65EB6CD1}"/>
    <cellStyle name="Note 2 4 5 2 3" xfId="14036" xr:uid="{20F746AA-9DD2-419D-AD61-DA08293415EB}"/>
    <cellStyle name="Note 2 4 5 3" xfId="6521" xr:uid="{00000000-0005-0000-0000-0000A0190000}"/>
    <cellStyle name="Note 2 4 5 3 2" xfId="16112" xr:uid="{F5459C3F-0F86-4D0E-A9F9-7D023907977F}"/>
    <cellStyle name="Note 2 4 5 4" xfId="11807" xr:uid="{A97EFC68-68FB-4BF5-905E-8C681C5DF01C}"/>
    <cellStyle name="Note 2 4 6" xfId="2651" xr:uid="{00000000-0005-0000-0000-0000820A0000}"/>
    <cellStyle name="Note 2 4 6 2" xfId="6934" xr:uid="{00000000-0005-0000-0000-00003D1B0000}"/>
    <cellStyle name="Note 2 4 6 2 2" xfId="16525" xr:uid="{72935363-A750-4308-A337-40F3F32262B4}"/>
    <cellStyle name="Note 2 4 6 3" xfId="12243" xr:uid="{9F16BE05-EACC-4CAC-87DE-003948B6DD92}"/>
    <cellStyle name="Note 2 4 7" xfId="2710" xr:uid="{00000000-0005-0000-0000-0000BD0A0000}"/>
    <cellStyle name="Note 2 4 7 2" xfId="12302" xr:uid="{F01BBF0F-6363-40BB-9FE4-405440CDE0AF}"/>
    <cellStyle name="Note 2 4 8" xfId="2791" xr:uid="{00000000-0005-0000-0000-00000E0B0000}"/>
    <cellStyle name="Note 2 4 8 2" xfId="7014" xr:uid="{00000000-0005-0000-0000-00008D1B0000}"/>
    <cellStyle name="Note 2 4 8 2 2" xfId="16605" xr:uid="{E784F11A-EBC9-4E9D-939C-1FDE63F6FFAC}"/>
    <cellStyle name="Note 2 4 8 3" xfId="12383" xr:uid="{3986F35B-EAB9-4567-8159-607DB07F8D3D}"/>
    <cellStyle name="Note 2 4 9" xfId="4869" xr:uid="{00000000-0005-0000-0000-00002C130000}"/>
    <cellStyle name="Note 2 4 9 2" xfId="14460" xr:uid="{B895B36E-AAA9-45FE-81D6-890D341220D9}"/>
    <cellStyle name="Note 2 5" xfId="516" xr:uid="{00000000-0005-0000-0000-000028020000}"/>
    <cellStyle name="Note 2 5 10" xfId="9176" xr:uid="{00000000-0005-0000-0000-0000FF230000}"/>
    <cellStyle name="Note 2 5 11" xfId="10109" xr:uid="{4E4FA127-1088-44E4-A1DD-C118724206AB}"/>
    <cellStyle name="Note 2 5 2" xfId="974" xr:uid="{00000000-0005-0000-0000-0000F5030000}"/>
    <cellStyle name="Note 2 5 2 2" xfId="3206" xr:uid="{00000000-0005-0000-0000-0000AD0C0000}"/>
    <cellStyle name="Note 2 5 2 2 2" xfId="7428" xr:uid="{00000000-0005-0000-0000-00002B1D0000}"/>
    <cellStyle name="Note 2 5 2 2 2 2" xfId="17019" xr:uid="{85274527-1DD1-40D7-A8F8-AD3360F5D508}"/>
    <cellStyle name="Note 2 5 2 2 3" xfId="12798" xr:uid="{EFDEF43D-F4B4-4220-862E-48BB80B1A05B}"/>
    <cellStyle name="Note 2 5 2 3" xfId="5283" xr:uid="{00000000-0005-0000-0000-0000CA140000}"/>
    <cellStyle name="Note 2 5 2 3 2" xfId="14874" xr:uid="{C45B9D29-8C09-4CFE-8CB0-2766A2F5D6A6}"/>
    <cellStyle name="Note 2 5 2 4" xfId="9571" xr:uid="{00000000-0005-0000-0000-00008A250000}"/>
    <cellStyle name="Note 2 5 2 5" xfId="10567" xr:uid="{850102C8-9021-4631-960B-8A76EAA53740}"/>
    <cellStyle name="Note 2 5 3" xfId="1389" xr:uid="{00000000-0005-0000-0000-000094050000}"/>
    <cellStyle name="Note 2 5 3 2" xfId="3619" xr:uid="{00000000-0005-0000-0000-00004A0E0000}"/>
    <cellStyle name="Note 2 5 3 2 2" xfId="7841" xr:uid="{00000000-0005-0000-0000-0000C81E0000}"/>
    <cellStyle name="Note 2 5 3 2 2 2" xfId="17432" xr:uid="{26B5A956-B0C2-45B0-8966-3882F1F3245C}"/>
    <cellStyle name="Note 2 5 3 2 3" xfId="13211" xr:uid="{2614C62F-A2EE-4809-A15E-46AC705D57B3}"/>
    <cellStyle name="Note 2 5 3 3" xfId="5696" xr:uid="{00000000-0005-0000-0000-000067160000}"/>
    <cellStyle name="Note 2 5 3 3 2" xfId="15287" xr:uid="{36ECC7E3-85AD-4E5E-AC41-9E4FE000CB3B}"/>
    <cellStyle name="Note 2 5 3 4" xfId="10982" xr:uid="{98FF9841-0C02-443F-AB1E-121E5F71CE5A}"/>
    <cellStyle name="Note 2 5 4" xfId="1803" xr:uid="{00000000-0005-0000-0000-000032070000}"/>
    <cellStyle name="Note 2 5 4 2" xfId="4032" xr:uid="{00000000-0005-0000-0000-0000E70F0000}"/>
    <cellStyle name="Note 2 5 4 2 2" xfId="8254" xr:uid="{00000000-0005-0000-0000-000065200000}"/>
    <cellStyle name="Note 2 5 4 2 2 2" xfId="17845" xr:uid="{0EB03723-10EE-4302-99E2-6B90687C6E42}"/>
    <cellStyle name="Note 2 5 4 2 3" xfId="13624" xr:uid="{8B1E4794-1440-463E-8441-E8BCA1E20A7E}"/>
    <cellStyle name="Note 2 5 4 3" xfId="6109" xr:uid="{00000000-0005-0000-0000-000004180000}"/>
    <cellStyle name="Note 2 5 4 3 2" xfId="15700" xr:uid="{18677489-B0EB-4534-BE0E-7FE2ED74C25A}"/>
    <cellStyle name="Note 2 5 4 4" xfId="11395" xr:uid="{E482025C-5D74-4C4A-9E54-FA0894A85CA2}"/>
    <cellStyle name="Note 2 5 5" xfId="2216" xr:uid="{00000000-0005-0000-0000-0000CF080000}"/>
    <cellStyle name="Note 2 5 5 2" xfId="4445" xr:uid="{00000000-0005-0000-0000-000084110000}"/>
    <cellStyle name="Note 2 5 5 2 2" xfId="8667" xr:uid="{00000000-0005-0000-0000-000002220000}"/>
    <cellStyle name="Note 2 5 5 2 2 2" xfId="18258" xr:uid="{3AC9E8BB-6924-41B1-95AA-D0779A44226C}"/>
    <cellStyle name="Note 2 5 5 2 3" xfId="14037" xr:uid="{E04258E4-A5F1-4163-A3EE-42CF7435CB4E}"/>
    <cellStyle name="Note 2 5 5 3" xfId="6522" xr:uid="{00000000-0005-0000-0000-0000A1190000}"/>
    <cellStyle name="Note 2 5 5 3 2" xfId="16113" xr:uid="{82EA2C49-7144-4927-B2B5-B7A6C193031D}"/>
    <cellStyle name="Note 2 5 5 4" xfId="11808" xr:uid="{4CB00738-DAAF-4389-9D1D-2A31369BE4CE}"/>
    <cellStyle name="Note 2 5 6" xfId="2652" xr:uid="{00000000-0005-0000-0000-0000830A0000}"/>
    <cellStyle name="Note 2 5 6 2" xfId="6935" xr:uid="{00000000-0005-0000-0000-00003E1B0000}"/>
    <cellStyle name="Note 2 5 6 2 2" xfId="16526" xr:uid="{FB6F5D10-6078-4A41-BF11-E090DD30CF30}"/>
    <cellStyle name="Note 2 5 6 3" xfId="12244" xr:uid="{F5AC2AE4-2780-42CF-8F9F-873465D5C318}"/>
    <cellStyle name="Note 2 5 7" xfId="2711" xr:uid="{00000000-0005-0000-0000-0000BE0A0000}"/>
    <cellStyle name="Note 2 5 7 2" xfId="12303" xr:uid="{6CBAEE94-DCEB-4FEB-9840-8F2BDB09DF01}"/>
    <cellStyle name="Note 2 5 8" xfId="2792" xr:uid="{00000000-0005-0000-0000-00000F0B0000}"/>
    <cellStyle name="Note 2 5 8 2" xfId="7015" xr:uid="{00000000-0005-0000-0000-00008E1B0000}"/>
    <cellStyle name="Note 2 5 8 2 2" xfId="16606" xr:uid="{A4D8AF48-7AEF-4870-9D1C-42E819E47775}"/>
    <cellStyle name="Note 2 5 8 3" xfId="12384" xr:uid="{D62CF692-2C9A-495F-BB20-9F4AC86FCA77}"/>
    <cellStyle name="Note 2 5 9" xfId="4870" xr:uid="{00000000-0005-0000-0000-00002D130000}"/>
    <cellStyle name="Note 2 5 9 2" xfId="14461" xr:uid="{2257DD04-1E92-4C49-A2AA-FA4087F42684}"/>
    <cellStyle name="Note 2 6" xfId="9548" xr:uid="{00000000-0005-0000-0000-000073250000}"/>
    <cellStyle name="Note 2 7" xfId="8752" xr:uid="{00000000-0005-0000-0000-000057220000}"/>
    <cellStyle name="Note 2 8" xfId="10101" xr:uid="{590936CA-8F61-4F80-8B57-6F39BF69AC91}"/>
    <cellStyle name="Note 3" xfId="517" xr:uid="{00000000-0005-0000-0000-000029020000}"/>
    <cellStyle name="Note 3 2" xfId="518" xr:uid="{00000000-0005-0000-0000-00002A020000}"/>
    <cellStyle name="Note 3 2 10" xfId="2793" xr:uid="{00000000-0005-0000-0000-0000100B0000}"/>
    <cellStyle name="Note 3 2 10 2" xfId="7016" xr:uid="{00000000-0005-0000-0000-00008F1B0000}"/>
    <cellStyle name="Note 3 2 10 2 2" xfId="16607" xr:uid="{7C02A6A2-44A8-4099-AAD4-83E946EA7AC1}"/>
    <cellStyle name="Note 3 2 10 3" xfId="12385" xr:uid="{CE0133A3-62A0-421C-80D7-D0D98911EAE5}"/>
    <cellStyle name="Note 3 2 11" xfId="4871" xr:uid="{00000000-0005-0000-0000-00002E130000}"/>
    <cellStyle name="Note 3 2 11 2" xfId="14462" xr:uid="{DDD65374-5204-4B2A-A24A-CF45CADD5F8C}"/>
    <cellStyle name="Note 3 2 12" xfId="8803" xr:uid="{00000000-0005-0000-0000-00008A220000}"/>
    <cellStyle name="Note 3 2 13" xfId="10111" xr:uid="{0D60B3CD-8BC7-4C90-B408-BFB8E3F2CC12}"/>
    <cellStyle name="Note 3 2 2" xfId="519" xr:uid="{00000000-0005-0000-0000-00002B020000}"/>
    <cellStyle name="Note 3 2 2 10" xfId="4872" xr:uid="{00000000-0005-0000-0000-00002F130000}"/>
    <cellStyle name="Note 3 2 2 10 2" xfId="14463" xr:uid="{6703EA1B-A990-47EC-A5DA-CF7DAC3F98C5}"/>
    <cellStyle name="Note 3 2 2 11" xfId="8906" xr:uid="{00000000-0005-0000-0000-0000F1220000}"/>
    <cellStyle name="Note 3 2 2 12" xfId="10112" xr:uid="{D6413707-7896-4082-9AEB-F7FC36CD3A08}"/>
    <cellStyle name="Note 3 2 2 2" xfId="520" xr:uid="{00000000-0005-0000-0000-00002C020000}"/>
    <cellStyle name="Note 3 2 2 2 10" xfId="9113" xr:uid="{00000000-0005-0000-0000-0000C0230000}"/>
    <cellStyle name="Note 3 2 2 2 11" xfId="10113" xr:uid="{B1A43036-78EB-4673-B1D5-C4CE1912B41F}"/>
    <cellStyle name="Note 3 2 2 2 2" xfId="977" xr:uid="{00000000-0005-0000-0000-0000F8030000}"/>
    <cellStyle name="Note 3 2 2 2 2 2" xfId="3209" xr:uid="{00000000-0005-0000-0000-0000B00C0000}"/>
    <cellStyle name="Note 3 2 2 2 2 2 2" xfId="7431" xr:uid="{00000000-0005-0000-0000-00002E1D0000}"/>
    <cellStyle name="Note 3 2 2 2 2 2 2 2" xfId="17022" xr:uid="{A8507080-5CB4-420F-B144-FC0605C2C867}"/>
    <cellStyle name="Note 3 2 2 2 2 2 3" xfId="12801" xr:uid="{116B709C-DEC8-48B7-8992-B95087E73985}"/>
    <cellStyle name="Note 3 2 2 2 2 3" xfId="5286" xr:uid="{00000000-0005-0000-0000-0000CD140000}"/>
    <cellStyle name="Note 3 2 2 2 2 3 2" xfId="14877" xr:uid="{74DBF65C-B06C-4089-8ABD-852CC33673C9}"/>
    <cellStyle name="Note 3 2 2 2 2 4" xfId="9538" xr:uid="{00000000-0005-0000-0000-000069250000}"/>
    <cellStyle name="Note 3 2 2 2 2 5" xfId="10570" xr:uid="{D5CA746F-C2B6-403D-9EE4-64EFD5866AA2}"/>
    <cellStyle name="Note 3 2 2 2 3" xfId="1392" xr:uid="{00000000-0005-0000-0000-000097050000}"/>
    <cellStyle name="Note 3 2 2 2 3 2" xfId="3622" xr:uid="{00000000-0005-0000-0000-00004D0E0000}"/>
    <cellStyle name="Note 3 2 2 2 3 2 2" xfId="7844" xr:uid="{00000000-0005-0000-0000-0000CB1E0000}"/>
    <cellStyle name="Note 3 2 2 2 3 2 2 2" xfId="17435" xr:uid="{F49BFF81-1785-4E58-A592-47EEFA485C57}"/>
    <cellStyle name="Note 3 2 2 2 3 2 3" xfId="13214" xr:uid="{41D5289D-DAA7-4EE8-9760-45B8AB0A348D}"/>
    <cellStyle name="Note 3 2 2 2 3 3" xfId="5699" xr:uid="{00000000-0005-0000-0000-00006A160000}"/>
    <cellStyle name="Note 3 2 2 2 3 3 2" xfId="15290" xr:uid="{7E72BF5F-7C8C-4192-8F6C-F2C9C14B74F4}"/>
    <cellStyle name="Note 3 2 2 2 3 4" xfId="10985" xr:uid="{9A179652-9577-46E7-843D-FB9A7D69BC1E}"/>
    <cellStyle name="Note 3 2 2 2 4" xfId="1806" xr:uid="{00000000-0005-0000-0000-000035070000}"/>
    <cellStyle name="Note 3 2 2 2 4 2" xfId="4035" xr:uid="{00000000-0005-0000-0000-0000EA0F0000}"/>
    <cellStyle name="Note 3 2 2 2 4 2 2" xfId="8257" xr:uid="{00000000-0005-0000-0000-000068200000}"/>
    <cellStyle name="Note 3 2 2 2 4 2 2 2" xfId="17848" xr:uid="{A399540C-9BA6-4254-8DFE-8705DAAE7B5D}"/>
    <cellStyle name="Note 3 2 2 2 4 2 3" xfId="13627" xr:uid="{2E49636D-B351-4E66-B452-7C9420515A93}"/>
    <cellStyle name="Note 3 2 2 2 4 3" xfId="6112" xr:uid="{00000000-0005-0000-0000-000007180000}"/>
    <cellStyle name="Note 3 2 2 2 4 3 2" xfId="15703" xr:uid="{F78AD751-7E91-4A5C-85E0-1024781EA255}"/>
    <cellStyle name="Note 3 2 2 2 4 4" xfId="11398" xr:uid="{D74FF59C-10E8-41C4-B833-4A5C1943C06A}"/>
    <cellStyle name="Note 3 2 2 2 5" xfId="2219" xr:uid="{00000000-0005-0000-0000-0000D2080000}"/>
    <cellStyle name="Note 3 2 2 2 5 2" xfId="4448" xr:uid="{00000000-0005-0000-0000-000087110000}"/>
    <cellStyle name="Note 3 2 2 2 5 2 2" xfId="8670" xr:uid="{00000000-0005-0000-0000-000005220000}"/>
    <cellStyle name="Note 3 2 2 2 5 2 2 2" xfId="18261" xr:uid="{F8A07A1B-29E6-45CB-B52F-7C19E3882D49}"/>
    <cellStyle name="Note 3 2 2 2 5 2 3" xfId="14040" xr:uid="{CDBD71A4-63F6-463C-BD33-2A1CA0F340D4}"/>
    <cellStyle name="Note 3 2 2 2 5 3" xfId="6525" xr:uid="{00000000-0005-0000-0000-0000A4190000}"/>
    <cellStyle name="Note 3 2 2 2 5 3 2" xfId="16116" xr:uid="{9094DDEF-564A-44BF-83E3-002052A84925}"/>
    <cellStyle name="Note 3 2 2 2 5 4" xfId="11811" xr:uid="{001E2D65-63FF-4C73-9692-F54EDD9E8439}"/>
    <cellStyle name="Note 3 2 2 2 6" xfId="2655" xr:uid="{00000000-0005-0000-0000-0000860A0000}"/>
    <cellStyle name="Note 3 2 2 2 6 2" xfId="6938" xr:uid="{00000000-0005-0000-0000-0000411B0000}"/>
    <cellStyle name="Note 3 2 2 2 6 2 2" xfId="16529" xr:uid="{0B6B1FCA-BCE1-49F2-9CD0-9F9C5B21D405}"/>
    <cellStyle name="Note 3 2 2 2 6 3" xfId="12247" xr:uid="{EB137FD9-1783-4664-929D-1B757B4C159E}"/>
    <cellStyle name="Note 3 2 2 2 7" xfId="2714" xr:uid="{00000000-0005-0000-0000-0000C10A0000}"/>
    <cellStyle name="Note 3 2 2 2 7 2" xfId="12306" xr:uid="{C04588CF-7899-4A20-9D92-D4798FFF98CD}"/>
    <cellStyle name="Note 3 2 2 2 8" xfId="2795" xr:uid="{00000000-0005-0000-0000-0000120B0000}"/>
    <cellStyle name="Note 3 2 2 2 8 2" xfId="7018" xr:uid="{00000000-0005-0000-0000-0000911B0000}"/>
    <cellStyle name="Note 3 2 2 2 8 2 2" xfId="16609" xr:uid="{A954C8D2-E9D7-49E8-8401-70B38AEE88B9}"/>
    <cellStyle name="Note 3 2 2 2 8 3" xfId="12387" xr:uid="{C82E0209-80DA-467B-A99C-77A8FE6E8280}"/>
    <cellStyle name="Note 3 2 2 2 9" xfId="4873" xr:uid="{00000000-0005-0000-0000-000030130000}"/>
    <cellStyle name="Note 3 2 2 2 9 2" xfId="14464" xr:uid="{7FECDA14-4D66-4BBC-992C-474A2E02BEAD}"/>
    <cellStyle name="Note 3 2 2 3" xfId="976" xr:uid="{00000000-0005-0000-0000-0000F7030000}"/>
    <cellStyle name="Note 3 2 2 3 2" xfId="3208" xr:uid="{00000000-0005-0000-0000-0000AF0C0000}"/>
    <cellStyle name="Note 3 2 2 3 2 2" xfId="7430" xr:uid="{00000000-0005-0000-0000-00002D1D0000}"/>
    <cellStyle name="Note 3 2 2 3 2 2 2" xfId="17021" xr:uid="{EF430287-72AE-4EA9-888B-EAEADCC0BA57}"/>
    <cellStyle name="Note 3 2 2 3 2 3" xfId="12800" xr:uid="{6B5028E9-927B-41CF-BAD3-21FD52D81D1A}"/>
    <cellStyle name="Note 3 2 2 3 3" xfId="5285" xr:uid="{00000000-0005-0000-0000-0000CC140000}"/>
    <cellStyle name="Note 3 2 2 3 3 2" xfId="14876" xr:uid="{2719B601-0348-4B50-8371-2F5890B0D532}"/>
    <cellStyle name="Note 3 2 2 3 4" xfId="9331" xr:uid="{00000000-0005-0000-0000-00009A240000}"/>
    <cellStyle name="Note 3 2 2 3 5" xfId="10569" xr:uid="{8EF68FB6-9EF2-4E45-9DC3-013BFC013D16}"/>
    <cellStyle name="Note 3 2 2 4" xfId="1391" xr:uid="{00000000-0005-0000-0000-000096050000}"/>
    <cellStyle name="Note 3 2 2 4 2" xfId="3621" xr:uid="{00000000-0005-0000-0000-00004C0E0000}"/>
    <cellStyle name="Note 3 2 2 4 2 2" xfId="7843" xr:uid="{00000000-0005-0000-0000-0000CA1E0000}"/>
    <cellStyle name="Note 3 2 2 4 2 2 2" xfId="17434" xr:uid="{4C8C0491-7453-40F9-93CA-CD5C85819F1F}"/>
    <cellStyle name="Note 3 2 2 4 2 3" xfId="13213" xr:uid="{79962AF8-5BD6-491B-9858-6D84A1D98A2C}"/>
    <cellStyle name="Note 3 2 2 4 3" xfId="5698" xr:uid="{00000000-0005-0000-0000-000069160000}"/>
    <cellStyle name="Note 3 2 2 4 3 2" xfId="15289" xr:uid="{64BBA763-56E9-4E5B-9EFA-796B4964B889}"/>
    <cellStyle name="Note 3 2 2 4 4" xfId="10984" xr:uid="{0FF79010-719E-4E48-BDC9-385C649B81ED}"/>
    <cellStyle name="Note 3 2 2 5" xfId="1805" xr:uid="{00000000-0005-0000-0000-000034070000}"/>
    <cellStyle name="Note 3 2 2 5 2" xfId="4034" xr:uid="{00000000-0005-0000-0000-0000E90F0000}"/>
    <cellStyle name="Note 3 2 2 5 2 2" xfId="8256" xr:uid="{00000000-0005-0000-0000-000067200000}"/>
    <cellStyle name="Note 3 2 2 5 2 2 2" xfId="17847" xr:uid="{9718B2B7-1974-483E-9614-B0C3B0035D9D}"/>
    <cellStyle name="Note 3 2 2 5 2 3" xfId="13626" xr:uid="{058316E9-2B24-40DB-A3D1-F8AF1BFDA301}"/>
    <cellStyle name="Note 3 2 2 5 3" xfId="6111" xr:uid="{00000000-0005-0000-0000-000006180000}"/>
    <cellStyle name="Note 3 2 2 5 3 2" xfId="15702" xr:uid="{6D33B0E4-9838-4E6B-9427-C5D035EC9773}"/>
    <cellStyle name="Note 3 2 2 5 4" xfId="11397" xr:uid="{E52B2EE7-7E7C-4361-9814-C16EC00E7C4D}"/>
    <cellStyle name="Note 3 2 2 6" xfId="2218" xr:uid="{00000000-0005-0000-0000-0000D1080000}"/>
    <cellStyle name="Note 3 2 2 6 2" xfId="4447" xr:uid="{00000000-0005-0000-0000-000086110000}"/>
    <cellStyle name="Note 3 2 2 6 2 2" xfId="8669" xr:uid="{00000000-0005-0000-0000-000004220000}"/>
    <cellStyle name="Note 3 2 2 6 2 2 2" xfId="18260" xr:uid="{DE301036-ADB9-4D57-9238-E0BA801871FE}"/>
    <cellStyle name="Note 3 2 2 6 2 3" xfId="14039" xr:uid="{6272D5B9-4D14-452A-B76B-0E1BFD08E062}"/>
    <cellStyle name="Note 3 2 2 6 3" xfId="6524" xr:uid="{00000000-0005-0000-0000-0000A3190000}"/>
    <cellStyle name="Note 3 2 2 6 3 2" xfId="16115" xr:uid="{2DAF1E43-E47E-4092-9294-B6C973BDECC6}"/>
    <cellStyle name="Note 3 2 2 6 4" xfId="11810" xr:uid="{1425BD53-2384-4DA4-8D36-283933BCE027}"/>
    <cellStyle name="Note 3 2 2 7" xfId="2654" xr:uid="{00000000-0005-0000-0000-0000850A0000}"/>
    <cellStyle name="Note 3 2 2 7 2" xfId="6937" xr:uid="{00000000-0005-0000-0000-0000401B0000}"/>
    <cellStyle name="Note 3 2 2 7 2 2" xfId="16528" xr:uid="{020E1588-22A9-4CA7-BE8E-D47CED9923D0}"/>
    <cellStyle name="Note 3 2 2 7 3" xfId="12246" xr:uid="{ECBF6961-8F02-4B8D-9FFE-0B34FEC8839C}"/>
    <cellStyle name="Note 3 2 2 8" xfId="2713" xr:uid="{00000000-0005-0000-0000-0000C00A0000}"/>
    <cellStyle name="Note 3 2 2 8 2" xfId="12305" xr:uid="{97E788B5-225F-47D1-9408-70AE8B0A9D69}"/>
    <cellStyle name="Note 3 2 2 9" xfId="2794" xr:uid="{00000000-0005-0000-0000-0000110B0000}"/>
    <cellStyle name="Note 3 2 2 9 2" xfId="7017" xr:uid="{00000000-0005-0000-0000-0000901B0000}"/>
    <cellStyle name="Note 3 2 2 9 2 2" xfId="16608" xr:uid="{C5AC5387-ED1B-4737-A677-579F097C7B29}"/>
    <cellStyle name="Note 3 2 2 9 3" xfId="12386" xr:uid="{CF8B949D-F071-42EF-829E-F7FAF093AC11}"/>
    <cellStyle name="Note 3 2 3" xfId="521" xr:uid="{00000000-0005-0000-0000-00002D020000}"/>
    <cellStyle name="Note 3 2 3 10" xfId="9010" xr:uid="{00000000-0005-0000-0000-000059230000}"/>
    <cellStyle name="Note 3 2 3 11" xfId="10114" xr:uid="{9E4D764D-38BF-41B2-A740-CEAE130EED48}"/>
    <cellStyle name="Note 3 2 3 2" xfId="978" xr:uid="{00000000-0005-0000-0000-0000F9030000}"/>
    <cellStyle name="Note 3 2 3 2 2" xfId="3210" xr:uid="{00000000-0005-0000-0000-0000B10C0000}"/>
    <cellStyle name="Note 3 2 3 2 2 2" xfId="7432" xr:uid="{00000000-0005-0000-0000-00002F1D0000}"/>
    <cellStyle name="Note 3 2 3 2 2 2 2" xfId="17023" xr:uid="{98360EE0-C7F5-4BBF-93C6-53BBE2EFAAA2}"/>
    <cellStyle name="Note 3 2 3 2 2 3" xfId="12802" xr:uid="{B81CC005-CEE3-43D6-A25D-82697DBBE013}"/>
    <cellStyle name="Note 3 2 3 2 3" xfId="5287" xr:uid="{00000000-0005-0000-0000-0000CE140000}"/>
    <cellStyle name="Note 3 2 3 2 3 2" xfId="14878" xr:uid="{79FD2F59-BC5A-44CD-AFC2-320A0AC2FA0F}"/>
    <cellStyle name="Note 3 2 3 2 4" xfId="9435" xr:uid="{00000000-0005-0000-0000-000002250000}"/>
    <cellStyle name="Note 3 2 3 2 5" xfId="10571" xr:uid="{A1AA318B-D452-459D-9596-9EFBBBD258A7}"/>
    <cellStyle name="Note 3 2 3 3" xfId="1393" xr:uid="{00000000-0005-0000-0000-000098050000}"/>
    <cellStyle name="Note 3 2 3 3 2" xfId="3623" xr:uid="{00000000-0005-0000-0000-00004E0E0000}"/>
    <cellStyle name="Note 3 2 3 3 2 2" xfId="7845" xr:uid="{00000000-0005-0000-0000-0000CC1E0000}"/>
    <cellStyle name="Note 3 2 3 3 2 2 2" xfId="17436" xr:uid="{12DBBD29-3961-4218-875E-4F93C1892978}"/>
    <cellStyle name="Note 3 2 3 3 2 3" xfId="13215" xr:uid="{B86B1F69-A5CB-472E-850A-2164B862EF98}"/>
    <cellStyle name="Note 3 2 3 3 3" xfId="5700" xr:uid="{00000000-0005-0000-0000-00006B160000}"/>
    <cellStyle name="Note 3 2 3 3 3 2" xfId="15291" xr:uid="{BC75B1EC-3939-41F5-90FB-DB0F01E3B02E}"/>
    <cellStyle name="Note 3 2 3 3 4" xfId="10986" xr:uid="{C8B12B15-4F2F-4645-898F-BB5CCDF3D170}"/>
    <cellStyle name="Note 3 2 3 4" xfId="1807" xr:uid="{00000000-0005-0000-0000-000036070000}"/>
    <cellStyle name="Note 3 2 3 4 2" xfId="4036" xr:uid="{00000000-0005-0000-0000-0000EB0F0000}"/>
    <cellStyle name="Note 3 2 3 4 2 2" xfId="8258" xr:uid="{00000000-0005-0000-0000-000069200000}"/>
    <cellStyle name="Note 3 2 3 4 2 2 2" xfId="17849" xr:uid="{DDF4F5C5-B6B3-4F79-97E6-DA3E577457CE}"/>
    <cellStyle name="Note 3 2 3 4 2 3" xfId="13628" xr:uid="{86E70B7F-E337-497F-B3C3-A332A1B45BBE}"/>
    <cellStyle name="Note 3 2 3 4 3" xfId="6113" xr:uid="{00000000-0005-0000-0000-000008180000}"/>
    <cellStyle name="Note 3 2 3 4 3 2" xfId="15704" xr:uid="{25CEFCFA-A9BD-453F-8E69-BBB068162750}"/>
    <cellStyle name="Note 3 2 3 4 4" xfId="11399" xr:uid="{D1D60967-E4AB-424E-ABB7-45F27AC4D76E}"/>
    <cellStyle name="Note 3 2 3 5" xfId="2220" xr:uid="{00000000-0005-0000-0000-0000D3080000}"/>
    <cellStyle name="Note 3 2 3 5 2" xfId="4449" xr:uid="{00000000-0005-0000-0000-000088110000}"/>
    <cellStyle name="Note 3 2 3 5 2 2" xfId="8671" xr:uid="{00000000-0005-0000-0000-000006220000}"/>
    <cellStyle name="Note 3 2 3 5 2 2 2" xfId="18262" xr:uid="{FFF6E790-1265-4D72-B53C-967AFA09001D}"/>
    <cellStyle name="Note 3 2 3 5 2 3" xfId="14041" xr:uid="{12BDD514-6638-47D0-A057-BDB3FE1AE21F}"/>
    <cellStyle name="Note 3 2 3 5 3" xfId="6526" xr:uid="{00000000-0005-0000-0000-0000A5190000}"/>
    <cellStyle name="Note 3 2 3 5 3 2" xfId="16117" xr:uid="{BC8D5B3D-1871-4D57-9A54-BF5624755DE6}"/>
    <cellStyle name="Note 3 2 3 5 4" xfId="11812" xr:uid="{4D90D5D1-7089-4B47-A07F-A3563F453B3E}"/>
    <cellStyle name="Note 3 2 3 6" xfId="2656" xr:uid="{00000000-0005-0000-0000-0000870A0000}"/>
    <cellStyle name="Note 3 2 3 6 2" xfId="6939" xr:uid="{00000000-0005-0000-0000-0000421B0000}"/>
    <cellStyle name="Note 3 2 3 6 2 2" xfId="16530" xr:uid="{50D6535E-CCAD-4008-9EEF-B6A7A64B78AB}"/>
    <cellStyle name="Note 3 2 3 6 3" xfId="12248" xr:uid="{A5BD75C8-5885-4EBF-B26A-15438C9D9355}"/>
    <cellStyle name="Note 3 2 3 7" xfId="2715" xr:uid="{00000000-0005-0000-0000-0000C20A0000}"/>
    <cellStyle name="Note 3 2 3 7 2" xfId="12307" xr:uid="{9D482692-B1A4-4D7F-A5FE-8429256A18B1}"/>
    <cellStyle name="Note 3 2 3 8" xfId="2796" xr:uid="{00000000-0005-0000-0000-0000130B0000}"/>
    <cellStyle name="Note 3 2 3 8 2" xfId="7019" xr:uid="{00000000-0005-0000-0000-0000921B0000}"/>
    <cellStyle name="Note 3 2 3 8 2 2" xfId="16610" xr:uid="{C7322132-7C20-4CCD-9428-450BF1FD7356}"/>
    <cellStyle name="Note 3 2 3 8 3" xfId="12388" xr:uid="{364C8D8E-A554-4586-A70A-57790A8B1BE0}"/>
    <cellStyle name="Note 3 2 3 9" xfId="4874" xr:uid="{00000000-0005-0000-0000-000031130000}"/>
    <cellStyle name="Note 3 2 3 9 2" xfId="14465" xr:uid="{A95B0ED6-C4F4-4F68-B220-918030231BBD}"/>
    <cellStyle name="Note 3 2 4" xfId="975" xr:uid="{00000000-0005-0000-0000-0000F6030000}"/>
    <cellStyle name="Note 3 2 4 2" xfId="3207" xr:uid="{00000000-0005-0000-0000-0000AE0C0000}"/>
    <cellStyle name="Note 3 2 4 2 2" xfId="7429" xr:uid="{00000000-0005-0000-0000-00002C1D0000}"/>
    <cellStyle name="Note 3 2 4 2 2 2" xfId="17020" xr:uid="{31807994-A630-4EDF-A354-569EE85F2F06}"/>
    <cellStyle name="Note 3 2 4 2 3" xfId="12799" xr:uid="{DF5AD6E0-35F0-4D2C-8600-37A1F6936186}"/>
    <cellStyle name="Note 3 2 4 3" xfId="5284" xr:uid="{00000000-0005-0000-0000-0000CB140000}"/>
    <cellStyle name="Note 3 2 4 3 2" xfId="14875" xr:uid="{555351A3-046C-4FE3-A190-9385AC90003A}"/>
    <cellStyle name="Note 3 2 4 4" xfId="9228" xr:uid="{00000000-0005-0000-0000-000033240000}"/>
    <cellStyle name="Note 3 2 4 5" xfId="10568" xr:uid="{333A4BE1-0EEB-4E7E-B120-B2BB2B27C8C0}"/>
    <cellStyle name="Note 3 2 5" xfId="1390" xr:uid="{00000000-0005-0000-0000-000095050000}"/>
    <cellStyle name="Note 3 2 5 2" xfId="3620" xr:uid="{00000000-0005-0000-0000-00004B0E0000}"/>
    <cellStyle name="Note 3 2 5 2 2" xfId="7842" xr:uid="{00000000-0005-0000-0000-0000C91E0000}"/>
    <cellStyle name="Note 3 2 5 2 2 2" xfId="17433" xr:uid="{490F056B-A145-44EF-B2D8-E48859FDCF1B}"/>
    <cellStyle name="Note 3 2 5 2 3" xfId="13212" xr:uid="{41CB240D-4BC1-471A-87C4-08096FDBC023}"/>
    <cellStyle name="Note 3 2 5 3" xfId="5697" xr:uid="{00000000-0005-0000-0000-000068160000}"/>
    <cellStyle name="Note 3 2 5 3 2" xfId="15288" xr:uid="{391C433E-EE1C-49B0-940D-F928A932340E}"/>
    <cellStyle name="Note 3 2 5 4" xfId="10983" xr:uid="{9349DC35-AD7D-4C25-AFCE-2C5051D155A4}"/>
    <cellStyle name="Note 3 2 6" xfId="1804" xr:uid="{00000000-0005-0000-0000-000033070000}"/>
    <cellStyle name="Note 3 2 6 2" xfId="4033" xr:uid="{00000000-0005-0000-0000-0000E80F0000}"/>
    <cellStyle name="Note 3 2 6 2 2" xfId="8255" xr:uid="{00000000-0005-0000-0000-000066200000}"/>
    <cellStyle name="Note 3 2 6 2 2 2" xfId="17846" xr:uid="{E243526F-7185-498B-830E-E8A683ADA298}"/>
    <cellStyle name="Note 3 2 6 2 3" xfId="13625" xr:uid="{7D40D709-D21C-4258-BC15-F21A969E1EA3}"/>
    <cellStyle name="Note 3 2 6 3" xfId="6110" xr:uid="{00000000-0005-0000-0000-000005180000}"/>
    <cellStyle name="Note 3 2 6 3 2" xfId="15701" xr:uid="{0B42B851-037D-4A18-A676-A4F845BF1263}"/>
    <cellStyle name="Note 3 2 6 4" xfId="11396" xr:uid="{B5E936A6-9D54-44AD-85F4-BE92C7122AE1}"/>
    <cellStyle name="Note 3 2 7" xfId="2217" xr:uid="{00000000-0005-0000-0000-0000D0080000}"/>
    <cellStyle name="Note 3 2 7 2" xfId="4446" xr:uid="{00000000-0005-0000-0000-000085110000}"/>
    <cellStyle name="Note 3 2 7 2 2" xfId="8668" xr:uid="{00000000-0005-0000-0000-000003220000}"/>
    <cellStyle name="Note 3 2 7 2 2 2" xfId="18259" xr:uid="{D030D7AB-C1F5-48D0-A5B3-882CCD0BBF66}"/>
    <cellStyle name="Note 3 2 7 2 3" xfId="14038" xr:uid="{C8032815-8E20-4E7F-9764-BB285940E2E2}"/>
    <cellStyle name="Note 3 2 7 3" xfId="6523" xr:uid="{00000000-0005-0000-0000-0000A2190000}"/>
    <cellStyle name="Note 3 2 7 3 2" xfId="16114" xr:uid="{E3C731B9-E42C-4B1B-9D32-57303E1588F5}"/>
    <cellStyle name="Note 3 2 7 4" xfId="11809" xr:uid="{72D474BE-D36A-4881-A5C3-614A8D7B701E}"/>
    <cellStyle name="Note 3 2 8" xfId="2653" xr:uid="{00000000-0005-0000-0000-0000840A0000}"/>
    <cellStyle name="Note 3 2 8 2" xfId="6936" xr:uid="{00000000-0005-0000-0000-00003F1B0000}"/>
    <cellStyle name="Note 3 2 8 2 2" xfId="16527" xr:uid="{D975583D-FE1B-41B7-87C2-7F3F14C9D5C6}"/>
    <cellStyle name="Note 3 2 8 3" xfId="12245" xr:uid="{907A530E-7FB3-40A8-8436-0B99960E9578}"/>
    <cellStyle name="Note 3 2 9" xfId="2712" xr:uid="{00000000-0005-0000-0000-0000BF0A0000}"/>
    <cellStyle name="Note 3 2 9 2" xfId="12304" xr:uid="{752E30F6-EC89-4D1E-B85C-0D18C0CEAB69}"/>
    <cellStyle name="Note 3 3" xfId="522" xr:uid="{00000000-0005-0000-0000-00002E020000}"/>
    <cellStyle name="Note 3 3 10" xfId="4875" xr:uid="{00000000-0005-0000-0000-000032130000}"/>
    <cellStyle name="Note 3 3 10 2" xfId="14466" xr:uid="{99D973A2-38B6-4519-ACF5-282010970FC2}"/>
    <cellStyle name="Note 3 3 11" xfId="8853" xr:uid="{00000000-0005-0000-0000-0000BC220000}"/>
    <cellStyle name="Note 3 3 12" xfId="10115" xr:uid="{9856E6E8-2C66-42B0-AAEB-95003DB0FC95}"/>
    <cellStyle name="Note 3 3 2" xfId="523" xr:uid="{00000000-0005-0000-0000-00002F020000}"/>
    <cellStyle name="Note 3 3 2 10" xfId="9060" xr:uid="{00000000-0005-0000-0000-00008B230000}"/>
    <cellStyle name="Note 3 3 2 11" xfId="10116" xr:uid="{F5DB0BBB-2B98-4B5D-B647-2148F0C6CB9F}"/>
    <cellStyle name="Note 3 3 2 2" xfId="980" xr:uid="{00000000-0005-0000-0000-0000FB030000}"/>
    <cellStyle name="Note 3 3 2 2 2" xfId="3212" xr:uid="{00000000-0005-0000-0000-0000B30C0000}"/>
    <cellStyle name="Note 3 3 2 2 2 2" xfId="7434" xr:uid="{00000000-0005-0000-0000-0000311D0000}"/>
    <cellStyle name="Note 3 3 2 2 2 2 2" xfId="17025" xr:uid="{799827E3-210A-4B21-8911-331A861F22C6}"/>
    <cellStyle name="Note 3 3 2 2 2 3" xfId="12804" xr:uid="{ACD84B2B-179D-4329-AB21-4B2827244B17}"/>
    <cellStyle name="Note 3 3 2 2 3" xfId="5289" xr:uid="{00000000-0005-0000-0000-0000D0140000}"/>
    <cellStyle name="Note 3 3 2 2 3 2" xfId="14880" xr:uid="{9A95E8C0-C9B2-49BC-B71A-7219A0AB20BD}"/>
    <cellStyle name="Note 3 3 2 2 4" xfId="9485" xr:uid="{00000000-0005-0000-0000-000034250000}"/>
    <cellStyle name="Note 3 3 2 2 5" xfId="10573" xr:uid="{7900A075-87E6-4060-851D-3D500E7D23DB}"/>
    <cellStyle name="Note 3 3 2 3" xfId="1395" xr:uid="{00000000-0005-0000-0000-00009A050000}"/>
    <cellStyle name="Note 3 3 2 3 2" xfId="3625" xr:uid="{00000000-0005-0000-0000-0000500E0000}"/>
    <cellStyle name="Note 3 3 2 3 2 2" xfId="7847" xr:uid="{00000000-0005-0000-0000-0000CE1E0000}"/>
    <cellStyle name="Note 3 3 2 3 2 2 2" xfId="17438" xr:uid="{54745FF1-F800-4606-BAA5-76BA3B085083}"/>
    <cellStyle name="Note 3 3 2 3 2 3" xfId="13217" xr:uid="{B3A8D44F-8649-476D-8FCC-D1369614C151}"/>
    <cellStyle name="Note 3 3 2 3 3" xfId="5702" xr:uid="{00000000-0005-0000-0000-00006D160000}"/>
    <cellStyle name="Note 3 3 2 3 3 2" xfId="15293" xr:uid="{EBE8729B-DC74-4DDD-9FC6-1B87E8D51C19}"/>
    <cellStyle name="Note 3 3 2 3 4" xfId="10988" xr:uid="{A5F9670C-64BB-4D90-A3CA-77FF367DF01E}"/>
    <cellStyle name="Note 3 3 2 4" xfId="1809" xr:uid="{00000000-0005-0000-0000-000038070000}"/>
    <cellStyle name="Note 3 3 2 4 2" xfId="4038" xr:uid="{00000000-0005-0000-0000-0000ED0F0000}"/>
    <cellStyle name="Note 3 3 2 4 2 2" xfId="8260" xr:uid="{00000000-0005-0000-0000-00006B200000}"/>
    <cellStyle name="Note 3 3 2 4 2 2 2" xfId="17851" xr:uid="{A35A62F5-EADE-4CE5-B1BD-EE86DF8DF923}"/>
    <cellStyle name="Note 3 3 2 4 2 3" xfId="13630" xr:uid="{EF5EA59F-343C-4766-8604-E61D32643E04}"/>
    <cellStyle name="Note 3 3 2 4 3" xfId="6115" xr:uid="{00000000-0005-0000-0000-00000A180000}"/>
    <cellStyle name="Note 3 3 2 4 3 2" xfId="15706" xr:uid="{27D6C752-0FB2-4B57-AA44-F8349F409DE7}"/>
    <cellStyle name="Note 3 3 2 4 4" xfId="11401" xr:uid="{C3CD209D-48AA-48E8-BA67-B3176181E473}"/>
    <cellStyle name="Note 3 3 2 5" xfId="2222" xr:uid="{00000000-0005-0000-0000-0000D5080000}"/>
    <cellStyle name="Note 3 3 2 5 2" xfId="4451" xr:uid="{00000000-0005-0000-0000-00008A110000}"/>
    <cellStyle name="Note 3 3 2 5 2 2" xfId="8673" xr:uid="{00000000-0005-0000-0000-000008220000}"/>
    <cellStyle name="Note 3 3 2 5 2 2 2" xfId="18264" xr:uid="{5E36568D-96AF-4F8F-A0D3-59000E44102B}"/>
    <cellStyle name="Note 3 3 2 5 2 3" xfId="14043" xr:uid="{750CC4BD-ABD7-49D4-90A8-E156FBC4854F}"/>
    <cellStyle name="Note 3 3 2 5 3" xfId="6528" xr:uid="{00000000-0005-0000-0000-0000A7190000}"/>
    <cellStyle name="Note 3 3 2 5 3 2" xfId="16119" xr:uid="{016AEFF7-DD13-4D35-9D10-E7B1DFF8B39D}"/>
    <cellStyle name="Note 3 3 2 5 4" xfId="11814" xr:uid="{A9821D14-581D-44A3-98AD-F08A01964991}"/>
    <cellStyle name="Note 3 3 2 6" xfId="2658" xr:uid="{00000000-0005-0000-0000-0000890A0000}"/>
    <cellStyle name="Note 3 3 2 6 2" xfId="6941" xr:uid="{00000000-0005-0000-0000-0000441B0000}"/>
    <cellStyle name="Note 3 3 2 6 2 2" xfId="16532" xr:uid="{F6595B8F-FABF-42F0-BFA1-E6DA449461F2}"/>
    <cellStyle name="Note 3 3 2 6 3" xfId="12250" xr:uid="{3CC0AFF7-6C50-4F58-9D77-512F3F176733}"/>
    <cellStyle name="Note 3 3 2 7" xfId="2717" xr:uid="{00000000-0005-0000-0000-0000C40A0000}"/>
    <cellStyle name="Note 3 3 2 7 2" xfId="12309" xr:uid="{B103F245-C40E-4D31-9231-012FCFDF4728}"/>
    <cellStyle name="Note 3 3 2 8" xfId="2798" xr:uid="{00000000-0005-0000-0000-0000150B0000}"/>
    <cellStyle name="Note 3 3 2 8 2" xfId="7021" xr:uid="{00000000-0005-0000-0000-0000941B0000}"/>
    <cellStyle name="Note 3 3 2 8 2 2" xfId="16612" xr:uid="{4548D49D-3CE9-4082-A3DC-8A4CAA0CCBDF}"/>
    <cellStyle name="Note 3 3 2 8 3" xfId="12390" xr:uid="{368C2BF2-D2AA-44F9-9C54-3E70E94A0F5D}"/>
    <cellStyle name="Note 3 3 2 9" xfId="4876" xr:uid="{00000000-0005-0000-0000-000033130000}"/>
    <cellStyle name="Note 3 3 2 9 2" xfId="14467" xr:uid="{0E1CE8FC-62E4-43A5-B8CE-F4FE9FC09F39}"/>
    <cellStyle name="Note 3 3 3" xfId="979" xr:uid="{00000000-0005-0000-0000-0000FA030000}"/>
    <cellStyle name="Note 3 3 3 2" xfId="3211" xr:uid="{00000000-0005-0000-0000-0000B20C0000}"/>
    <cellStyle name="Note 3 3 3 2 2" xfId="7433" xr:uid="{00000000-0005-0000-0000-0000301D0000}"/>
    <cellStyle name="Note 3 3 3 2 2 2" xfId="17024" xr:uid="{B8007BD4-3CFD-4A63-86AD-5DC365B88F3D}"/>
    <cellStyle name="Note 3 3 3 2 3" xfId="12803" xr:uid="{12FF18F1-D7B8-43E7-946D-FE41D004CBEE}"/>
    <cellStyle name="Note 3 3 3 3" xfId="5288" xr:uid="{00000000-0005-0000-0000-0000CF140000}"/>
    <cellStyle name="Note 3 3 3 3 2" xfId="14879" xr:uid="{AA1B5FFB-098E-473A-A675-9B28C42C4D6F}"/>
    <cellStyle name="Note 3 3 3 4" xfId="9278" xr:uid="{00000000-0005-0000-0000-000065240000}"/>
    <cellStyle name="Note 3 3 3 5" xfId="10572" xr:uid="{BCADCDD7-45D4-427A-BA5E-DE2A280C14DA}"/>
    <cellStyle name="Note 3 3 4" xfId="1394" xr:uid="{00000000-0005-0000-0000-000099050000}"/>
    <cellStyle name="Note 3 3 4 2" xfId="3624" xr:uid="{00000000-0005-0000-0000-00004F0E0000}"/>
    <cellStyle name="Note 3 3 4 2 2" xfId="7846" xr:uid="{00000000-0005-0000-0000-0000CD1E0000}"/>
    <cellStyle name="Note 3 3 4 2 2 2" xfId="17437" xr:uid="{80FF19CF-67BD-4F18-8AF7-40DC338FDD14}"/>
    <cellStyle name="Note 3 3 4 2 3" xfId="13216" xr:uid="{50928844-E7EF-494C-A6AA-183548F71088}"/>
    <cellStyle name="Note 3 3 4 3" xfId="5701" xr:uid="{00000000-0005-0000-0000-00006C160000}"/>
    <cellStyle name="Note 3 3 4 3 2" xfId="15292" xr:uid="{C77DAA22-F85F-43EA-8DDE-ECCD76FB31C2}"/>
    <cellStyle name="Note 3 3 4 4" xfId="10987" xr:uid="{DF9319F1-CA1C-48B3-92F3-EBFDC6CA3988}"/>
    <cellStyle name="Note 3 3 5" xfId="1808" xr:uid="{00000000-0005-0000-0000-000037070000}"/>
    <cellStyle name="Note 3 3 5 2" xfId="4037" xr:uid="{00000000-0005-0000-0000-0000EC0F0000}"/>
    <cellStyle name="Note 3 3 5 2 2" xfId="8259" xr:uid="{00000000-0005-0000-0000-00006A200000}"/>
    <cellStyle name="Note 3 3 5 2 2 2" xfId="17850" xr:uid="{88751BEC-2562-48DC-8124-6C078C0B82C6}"/>
    <cellStyle name="Note 3 3 5 2 3" xfId="13629" xr:uid="{17787EF3-C8E0-4EFC-AEB4-443DE85007A4}"/>
    <cellStyle name="Note 3 3 5 3" xfId="6114" xr:uid="{00000000-0005-0000-0000-000009180000}"/>
    <cellStyle name="Note 3 3 5 3 2" xfId="15705" xr:uid="{1E13FD11-1930-4F47-AC84-B31DE8AD8007}"/>
    <cellStyle name="Note 3 3 5 4" xfId="11400" xr:uid="{5D0EAB97-252F-4767-9F6A-06E0F62F166D}"/>
    <cellStyle name="Note 3 3 6" xfId="2221" xr:uid="{00000000-0005-0000-0000-0000D4080000}"/>
    <cellStyle name="Note 3 3 6 2" xfId="4450" xr:uid="{00000000-0005-0000-0000-000089110000}"/>
    <cellStyle name="Note 3 3 6 2 2" xfId="8672" xr:uid="{00000000-0005-0000-0000-000007220000}"/>
    <cellStyle name="Note 3 3 6 2 2 2" xfId="18263" xr:uid="{3326EACC-B0AC-4EC8-9DE4-2BAFFF9CE91F}"/>
    <cellStyle name="Note 3 3 6 2 3" xfId="14042" xr:uid="{9D9F812A-C7BB-42C5-9AEC-BD16333F9B0C}"/>
    <cellStyle name="Note 3 3 6 3" xfId="6527" xr:uid="{00000000-0005-0000-0000-0000A6190000}"/>
    <cellStyle name="Note 3 3 6 3 2" xfId="16118" xr:uid="{40B8DCFE-B873-480A-BD89-40FE5B140F15}"/>
    <cellStyle name="Note 3 3 6 4" xfId="11813" xr:uid="{F033CA24-7B87-4F21-88DE-33D52244C4B7}"/>
    <cellStyle name="Note 3 3 7" xfId="2657" xr:uid="{00000000-0005-0000-0000-0000880A0000}"/>
    <cellStyle name="Note 3 3 7 2" xfId="6940" xr:uid="{00000000-0005-0000-0000-0000431B0000}"/>
    <cellStyle name="Note 3 3 7 2 2" xfId="16531" xr:uid="{B6DE6263-FC1A-44DE-ADCD-975C44472C1C}"/>
    <cellStyle name="Note 3 3 7 3" xfId="12249" xr:uid="{10A7A289-A236-4444-9302-526C0E106631}"/>
    <cellStyle name="Note 3 3 8" xfId="2716" xr:uid="{00000000-0005-0000-0000-0000C30A0000}"/>
    <cellStyle name="Note 3 3 8 2" xfId="12308" xr:uid="{715BB6A4-A2A0-4C62-B832-67DE59EE460E}"/>
    <cellStyle name="Note 3 3 9" xfId="2797" xr:uid="{00000000-0005-0000-0000-0000140B0000}"/>
    <cellStyle name="Note 3 3 9 2" xfId="7020" xr:uid="{00000000-0005-0000-0000-0000931B0000}"/>
    <cellStyle name="Note 3 3 9 2 2" xfId="16611" xr:uid="{5788A2FB-A3A5-462C-9B46-D41CD4529847}"/>
    <cellStyle name="Note 3 3 9 3" xfId="12389" xr:uid="{331EF5AF-6656-4463-8135-D740F99DF61C}"/>
    <cellStyle name="Note 3 4" xfId="524" xr:uid="{00000000-0005-0000-0000-000030020000}"/>
    <cellStyle name="Note 3 4 10" xfId="8957" xr:uid="{00000000-0005-0000-0000-000024230000}"/>
    <cellStyle name="Note 3 4 11" xfId="10117" xr:uid="{D408BACD-2DB8-436B-8EEF-565B653C09EB}"/>
    <cellStyle name="Note 3 4 2" xfId="981" xr:uid="{00000000-0005-0000-0000-0000FC030000}"/>
    <cellStyle name="Note 3 4 2 2" xfId="3213" xr:uid="{00000000-0005-0000-0000-0000B40C0000}"/>
    <cellStyle name="Note 3 4 2 2 2" xfId="7435" xr:uid="{00000000-0005-0000-0000-0000321D0000}"/>
    <cellStyle name="Note 3 4 2 2 2 2" xfId="17026" xr:uid="{FBF6695A-79D5-4532-9EB9-DEFC3CFF28AB}"/>
    <cellStyle name="Note 3 4 2 2 3" xfId="12805" xr:uid="{4189C1F7-D6F3-4DF3-861B-0A5124991BD2}"/>
    <cellStyle name="Note 3 4 2 3" xfId="5290" xr:uid="{00000000-0005-0000-0000-0000D1140000}"/>
    <cellStyle name="Note 3 4 2 3 2" xfId="14881" xr:uid="{7CBE17BE-EEBE-42C8-8505-F3EB616032DF}"/>
    <cellStyle name="Note 3 4 2 4" xfId="9382" xr:uid="{00000000-0005-0000-0000-0000CD240000}"/>
    <cellStyle name="Note 3 4 2 5" xfId="10574" xr:uid="{A33CBAA0-FB92-4CF4-994A-032264BC6BA6}"/>
    <cellStyle name="Note 3 4 3" xfId="1396" xr:uid="{00000000-0005-0000-0000-00009B050000}"/>
    <cellStyle name="Note 3 4 3 2" xfId="3626" xr:uid="{00000000-0005-0000-0000-0000510E0000}"/>
    <cellStyle name="Note 3 4 3 2 2" xfId="7848" xr:uid="{00000000-0005-0000-0000-0000CF1E0000}"/>
    <cellStyle name="Note 3 4 3 2 2 2" xfId="17439" xr:uid="{76E5AF20-D763-4131-A9F9-58F29E9AA097}"/>
    <cellStyle name="Note 3 4 3 2 3" xfId="13218" xr:uid="{503C516B-4329-4C52-9399-1C64BE20E4C3}"/>
    <cellStyle name="Note 3 4 3 3" xfId="5703" xr:uid="{00000000-0005-0000-0000-00006E160000}"/>
    <cellStyle name="Note 3 4 3 3 2" xfId="15294" xr:uid="{D6BDBE26-8AC8-4954-A6C3-860B41E02F51}"/>
    <cellStyle name="Note 3 4 3 4" xfId="10989" xr:uid="{9FC26572-BEEC-41C0-B325-275E95E355A5}"/>
    <cellStyle name="Note 3 4 4" xfId="1810" xr:uid="{00000000-0005-0000-0000-000039070000}"/>
    <cellStyle name="Note 3 4 4 2" xfId="4039" xr:uid="{00000000-0005-0000-0000-0000EE0F0000}"/>
    <cellStyle name="Note 3 4 4 2 2" xfId="8261" xr:uid="{00000000-0005-0000-0000-00006C200000}"/>
    <cellStyle name="Note 3 4 4 2 2 2" xfId="17852" xr:uid="{164C9683-F371-430F-882E-0AC583C58964}"/>
    <cellStyle name="Note 3 4 4 2 3" xfId="13631" xr:uid="{86F2749F-34B5-4DAB-8B16-07F1CED8566D}"/>
    <cellStyle name="Note 3 4 4 3" xfId="6116" xr:uid="{00000000-0005-0000-0000-00000B180000}"/>
    <cellStyle name="Note 3 4 4 3 2" xfId="15707" xr:uid="{585D3DFC-FC1F-465C-8CBF-82FDB8FB3195}"/>
    <cellStyle name="Note 3 4 4 4" xfId="11402" xr:uid="{57CCEF73-9854-4FC6-9974-70CA06F0927B}"/>
    <cellStyle name="Note 3 4 5" xfId="2223" xr:uid="{00000000-0005-0000-0000-0000D6080000}"/>
    <cellStyle name="Note 3 4 5 2" xfId="4452" xr:uid="{00000000-0005-0000-0000-00008B110000}"/>
    <cellStyle name="Note 3 4 5 2 2" xfId="8674" xr:uid="{00000000-0005-0000-0000-000009220000}"/>
    <cellStyle name="Note 3 4 5 2 2 2" xfId="18265" xr:uid="{CD9B83A2-7AEE-4215-8E38-24F48AF5364E}"/>
    <cellStyle name="Note 3 4 5 2 3" xfId="14044" xr:uid="{28256E6A-15AD-4E72-B1B4-0CF5FC6EE6CC}"/>
    <cellStyle name="Note 3 4 5 3" xfId="6529" xr:uid="{00000000-0005-0000-0000-0000A8190000}"/>
    <cellStyle name="Note 3 4 5 3 2" xfId="16120" xr:uid="{03884E54-6245-497F-BC36-87B947120B2B}"/>
    <cellStyle name="Note 3 4 5 4" xfId="11815" xr:uid="{F1FDCF43-8866-47F8-9771-9EAF1530AF71}"/>
    <cellStyle name="Note 3 4 6" xfId="2659" xr:uid="{00000000-0005-0000-0000-00008A0A0000}"/>
    <cellStyle name="Note 3 4 6 2" xfId="6942" xr:uid="{00000000-0005-0000-0000-0000451B0000}"/>
    <cellStyle name="Note 3 4 6 2 2" xfId="16533" xr:uid="{B0D5993A-46D4-4EDA-9C6C-6047DA576E95}"/>
    <cellStyle name="Note 3 4 6 3" xfId="12251" xr:uid="{1C987197-90A2-435C-85CD-9401FC8E1A56}"/>
    <cellStyle name="Note 3 4 7" xfId="2718" xr:uid="{00000000-0005-0000-0000-0000C50A0000}"/>
    <cellStyle name="Note 3 4 7 2" xfId="12310" xr:uid="{F43235E8-D046-48A2-A10F-92D90AB7041A}"/>
    <cellStyle name="Note 3 4 8" xfId="2799" xr:uid="{00000000-0005-0000-0000-0000160B0000}"/>
    <cellStyle name="Note 3 4 8 2" xfId="7022" xr:uid="{00000000-0005-0000-0000-0000951B0000}"/>
    <cellStyle name="Note 3 4 8 2 2" xfId="16613" xr:uid="{D19F5893-82E6-47A7-9CD6-716D4F4F064A}"/>
    <cellStyle name="Note 3 4 8 3" xfId="12391" xr:uid="{62FA32B3-5800-48EE-B7B1-0B064E58B5CC}"/>
    <cellStyle name="Note 3 4 9" xfId="4877" xr:uid="{00000000-0005-0000-0000-000034130000}"/>
    <cellStyle name="Note 3 4 9 2" xfId="14468" xr:uid="{0AB1FF6D-951B-42D9-90A8-AAAB499D68BF}"/>
    <cellStyle name="Note 3 5" xfId="525" xr:uid="{00000000-0005-0000-0000-000031020000}"/>
    <cellStyle name="Note 3 5 10" xfId="9174" xr:uid="{00000000-0005-0000-0000-0000FD230000}"/>
    <cellStyle name="Note 3 5 11" xfId="10118" xr:uid="{B4A9850E-840E-45D5-A941-F5B6AA5B3C79}"/>
    <cellStyle name="Note 3 5 2" xfId="982" xr:uid="{00000000-0005-0000-0000-0000FD030000}"/>
    <cellStyle name="Note 3 5 2 2" xfId="3214" xr:uid="{00000000-0005-0000-0000-0000B50C0000}"/>
    <cellStyle name="Note 3 5 2 2 2" xfId="7436" xr:uid="{00000000-0005-0000-0000-0000331D0000}"/>
    <cellStyle name="Note 3 5 2 2 2 2" xfId="17027" xr:uid="{E85CC2B9-8016-4703-9D43-01CEBCC3CE9C}"/>
    <cellStyle name="Note 3 5 2 2 3" xfId="12806" xr:uid="{96D6B856-0B42-4A6A-B66B-FEEA9C044AF1}"/>
    <cellStyle name="Note 3 5 2 3" xfId="5291" xr:uid="{00000000-0005-0000-0000-0000D2140000}"/>
    <cellStyle name="Note 3 5 2 3 2" xfId="14882" xr:uid="{EBF87C38-72A8-412A-B468-66F8098EDD92}"/>
    <cellStyle name="Note 3 5 2 4" xfId="9572" xr:uid="{00000000-0005-0000-0000-00008B250000}"/>
    <cellStyle name="Note 3 5 2 5" xfId="10575" xr:uid="{A6A0C9BF-5BDE-4589-9355-EBCCDC1D3651}"/>
    <cellStyle name="Note 3 5 3" xfId="1397" xr:uid="{00000000-0005-0000-0000-00009C050000}"/>
    <cellStyle name="Note 3 5 3 2" xfId="3627" xr:uid="{00000000-0005-0000-0000-0000520E0000}"/>
    <cellStyle name="Note 3 5 3 2 2" xfId="7849" xr:uid="{00000000-0005-0000-0000-0000D01E0000}"/>
    <cellStyle name="Note 3 5 3 2 2 2" xfId="17440" xr:uid="{F516D6B0-33DC-48B2-85EC-6BA4B7D033DB}"/>
    <cellStyle name="Note 3 5 3 2 3" xfId="13219" xr:uid="{B9E29AE3-4851-4C9E-8CA8-F774EB3000B6}"/>
    <cellStyle name="Note 3 5 3 3" xfId="5704" xr:uid="{00000000-0005-0000-0000-00006F160000}"/>
    <cellStyle name="Note 3 5 3 3 2" xfId="15295" xr:uid="{50AD3E94-3AF6-4515-BE75-3DA11423FDC5}"/>
    <cellStyle name="Note 3 5 3 4" xfId="10990" xr:uid="{6DAADB3C-F821-442C-8ABA-CB4E375601E7}"/>
    <cellStyle name="Note 3 5 4" xfId="1811" xr:uid="{00000000-0005-0000-0000-00003A070000}"/>
    <cellStyle name="Note 3 5 4 2" xfId="4040" xr:uid="{00000000-0005-0000-0000-0000EF0F0000}"/>
    <cellStyle name="Note 3 5 4 2 2" xfId="8262" xr:uid="{00000000-0005-0000-0000-00006D200000}"/>
    <cellStyle name="Note 3 5 4 2 2 2" xfId="17853" xr:uid="{7C630A9B-218F-43F4-B349-C72CF42D898C}"/>
    <cellStyle name="Note 3 5 4 2 3" xfId="13632" xr:uid="{0F93D959-37A3-4E2A-AE0E-6FDDAC15D4AB}"/>
    <cellStyle name="Note 3 5 4 3" xfId="6117" xr:uid="{00000000-0005-0000-0000-00000C180000}"/>
    <cellStyle name="Note 3 5 4 3 2" xfId="15708" xr:uid="{0F6B88A5-B489-4A7E-8F6B-1B6AB64AC02C}"/>
    <cellStyle name="Note 3 5 4 4" xfId="11403" xr:uid="{CA4416C1-4418-419F-AA63-3F5AD2ADC23B}"/>
    <cellStyle name="Note 3 5 5" xfId="2224" xr:uid="{00000000-0005-0000-0000-0000D7080000}"/>
    <cellStyle name="Note 3 5 5 2" xfId="4453" xr:uid="{00000000-0005-0000-0000-00008C110000}"/>
    <cellStyle name="Note 3 5 5 2 2" xfId="8675" xr:uid="{00000000-0005-0000-0000-00000A220000}"/>
    <cellStyle name="Note 3 5 5 2 2 2" xfId="18266" xr:uid="{2BDE0B5B-2C49-4BAF-8556-B899362DE897}"/>
    <cellStyle name="Note 3 5 5 2 3" xfId="14045" xr:uid="{96110A99-B9D5-4895-B3D8-0634CFDFBE08}"/>
    <cellStyle name="Note 3 5 5 3" xfId="6530" xr:uid="{00000000-0005-0000-0000-0000A9190000}"/>
    <cellStyle name="Note 3 5 5 3 2" xfId="16121" xr:uid="{A30E44BA-81FE-4BDC-B35E-5C8131234302}"/>
    <cellStyle name="Note 3 5 5 4" xfId="11816" xr:uid="{9048AC58-64F0-4B16-BCD2-82CAD2EFC9B2}"/>
    <cellStyle name="Note 3 5 6" xfId="2660" xr:uid="{00000000-0005-0000-0000-00008B0A0000}"/>
    <cellStyle name="Note 3 5 6 2" xfId="6943" xr:uid="{00000000-0005-0000-0000-0000461B0000}"/>
    <cellStyle name="Note 3 5 6 2 2" xfId="16534" xr:uid="{5E919AD3-C62C-465B-AB3B-455AF0D8DB27}"/>
    <cellStyle name="Note 3 5 6 3" xfId="12252" xr:uid="{71C73BCD-9D49-4373-B563-F4254FAB60E2}"/>
    <cellStyle name="Note 3 5 7" xfId="2719" xr:uid="{00000000-0005-0000-0000-0000C60A0000}"/>
    <cellStyle name="Note 3 5 7 2" xfId="12311" xr:uid="{7878B92A-5B3E-462E-A22B-14C6DAE7489B}"/>
    <cellStyle name="Note 3 5 8" xfId="2800" xr:uid="{00000000-0005-0000-0000-0000170B0000}"/>
    <cellStyle name="Note 3 5 8 2" xfId="7023" xr:uid="{00000000-0005-0000-0000-0000961B0000}"/>
    <cellStyle name="Note 3 5 8 2 2" xfId="16614" xr:uid="{D34CA207-D1AB-4D46-BCC4-B0138BFABEC4}"/>
    <cellStyle name="Note 3 5 8 3" xfId="12392" xr:uid="{739E9687-CA95-47FA-A1DE-2FFED9210B8D}"/>
    <cellStyle name="Note 3 5 9" xfId="4878" xr:uid="{00000000-0005-0000-0000-000035130000}"/>
    <cellStyle name="Note 3 5 9 2" xfId="14469" xr:uid="{F7E74570-5360-496A-9D80-318D44E809D4}"/>
    <cellStyle name="Note 3 6" xfId="9549" xr:uid="{00000000-0005-0000-0000-000074250000}"/>
    <cellStyle name="Note 3 7" xfId="8750" xr:uid="{00000000-0005-0000-0000-000055220000}"/>
    <cellStyle name="Note 3 8" xfId="10110" xr:uid="{92EE765D-7F68-48FE-AB82-07C534BD632C}"/>
    <cellStyle name="Output" xfId="9581" builtinId="21" customBuiltin="1"/>
    <cellStyle name="Output 2" xfId="526" xr:uid="{00000000-0005-0000-0000-000033020000}"/>
    <cellStyle name="Output 2 2" xfId="10119" xr:uid="{C79A16E7-3B31-4D1E-8E90-6D1814D76F50}"/>
    <cellStyle name="Percent" xfId="4455" builtinId="5"/>
    <cellStyle name="Percent 2" xfId="983" xr:uid="{00000000-0005-0000-0000-0000FE030000}"/>
    <cellStyle name="Percent 2 2" xfId="10576" xr:uid="{7A357E90-FEA0-4CD6-AF35-DCB1326FF047}"/>
    <cellStyle name="Percent 3" xfId="4460" xr:uid="{00000000-0005-0000-0000-000093110000}"/>
    <cellStyle name="Percent 3 2" xfId="9553" xr:uid="{00000000-0005-0000-0000-000078250000}"/>
    <cellStyle name="Percent 3 3" xfId="14051" xr:uid="{C70DFFC5-6531-4058-BECF-00FACE70340A}"/>
    <cellStyle name="Percent 4" xfId="4463" xr:uid="{00000000-0005-0000-0000-000096110000}"/>
    <cellStyle name="Percent 4 2" xfId="8678" xr:uid="{00000000-0005-0000-0000-00000D220000}"/>
    <cellStyle name="Percent 4 2 2" xfId="18269" xr:uid="{1D5BE66D-60F0-4ECD-962C-272FF4F6C48E}"/>
    <cellStyle name="Percent 4 3" xfId="8681" xr:uid="{00000000-0005-0000-0000-000010220000}"/>
    <cellStyle name="Percent 4 3 2" xfId="8685" xr:uid="{00000000-0005-0000-0000-000014220000}"/>
    <cellStyle name="Percent 4 3 2 2" xfId="8688" xr:uid="{00000000-0005-0000-0000-000017220000}"/>
    <cellStyle name="Percent 4 3 2 2 2" xfId="8693" xr:uid="{00000000-0005-0000-0000-00001C220000}"/>
    <cellStyle name="Percent 4 3 2 2 2 2" xfId="8696" xr:uid="{00000000-0005-0000-0000-00001F220000}"/>
    <cellStyle name="Percent 4 3 2 2 2 2 2" xfId="8699" xr:uid="{00000000-0005-0000-0000-000022220000}"/>
    <cellStyle name="Percent 4 3 2 2 2 2 3" xfId="18286" xr:uid="{4F017420-C980-4D89-8B8C-AB56E52A998E}"/>
    <cellStyle name="Percent 4 3 2 2 2 3" xfId="18283" xr:uid="{B816E464-034C-4BF1-9638-DC4C6A63B7F4}"/>
    <cellStyle name="Percent 4 3 2 2 3" xfId="18279" xr:uid="{8F881B02-9EF4-491C-A74A-5EBCF2FDC4B6}"/>
    <cellStyle name="Percent 4 3 2 3" xfId="18276" xr:uid="{A3C697CC-7337-4C5D-B2A9-4DE7B5277160}"/>
    <cellStyle name="Percent 4 3 3" xfId="18272" xr:uid="{66098D7A-D998-4727-ADDF-9AA835CE3894}"/>
    <cellStyle name="Percent 4 4" xfId="14054" xr:uid="{9FAF56BB-FCE0-4F66-AAF5-56573E398325}"/>
    <cellStyle name="Percent 5" xfId="14047" xr:uid="{0B3DCAF5-EA86-49C2-A947-C5765CF11DC9}"/>
    <cellStyle name="Text Entry" xfId="527" xr:uid="{00000000-0005-0000-0000-000034020000}"/>
    <cellStyle name="Text Entry 2" xfId="10120" xr:uid="{338F3B6A-68D1-47BB-AAAB-178419F56A35}"/>
    <cellStyle name="Title 2" xfId="528" xr:uid="{00000000-0005-0000-0000-000035020000}"/>
    <cellStyle name="Title 2 2" xfId="2720" xr:uid="{00000000-0005-0000-0000-0000C70A0000}"/>
    <cellStyle name="Title 2 2 2" xfId="12312" xr:uid="{2D330D16-4DE7-4ADB-9F74-D457B6E504C8}"/>
    <cellStyle name="Title 2 3" xfId="2801" xr:uid="{00000000-0005-0000-0000-0000180B0000}"/>
    <cellStyle name="Title 2 3 2" xfId="12393" xr:uid="{E64845DB-7741-48A0-8E8E-0778F8CA5A1C}"/>
    <cellStyle name="Title 2 4" xfId="10121" xr:uid="{6DE01BC7-6671-481D-8F4F-CD059E6CFC9C}"/>
    <cellStyle name="Total" xfId="9587" builtinId="25" customBuiltin="1"/>
    <cellStyle name="Total 2" xfId="529" xr:uid="{00000000-0005-0000-0000-000037020000}"/>
    <cellStyle name="Total 2 2" xfId="10122" xr:uid="{18292F68-3192-4FF1-9A1A-EC0020E0D11C}"/>
    <cellStyle name="Warning Text" xfId="9585"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bgColor auto="1"/>
        </patternFill>
      </fill>
      <border>
        <left/>
        <right/>
        <top/>
        <bottom/>
        <vertical/>
        <horizontal/>
      </border>
    </dxf>
    <dxf>
      <font>
        <strike val="0"/>
        <color theme="0" tint="-0.34998626667073579"/>
      </font>
      <fill>
        <patternFill>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bgColor auto="1"/>
        </patternFill>
      </fill>
      <border>
        <left/>
        <right/>
        <bottom/>
      </border>
    </dxf>
    <dxf>
      <font>
        <strike val="0"/>
        <color theme="0" tint="-0.24994659260841701"/>
      </font>
      <fill>
        <patternFill>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strike val="0"/>
        <condense val="0"/>
        <extend val="0"/>
        <outline val="0"/>
        <shadow val="0"/>
        <vertAlign val="baseline"/>
        <sz val="11"/>
        <color theme="1"/>
        <name val="Calibri"/>
        <family val="2"/>
        <scheme val="minor"/>
      </font>
    </dxf>
    <dxf>
      <font>
        <strike val="0"/>
        <condense val="0"/>
        <extend val="0"/>
        <outline val="0"/>
        <shadow val="0"/>
        <vertAlign val="baseline"/>
        <sz val="11"/>
        <color theme="1"/>
        <name val="Calibri"/>
        <family val="2"/>
        <scheme val="minor"/>
      </font>
    </dxf>
    <dxf>
      <font>
        <strike val="0"/>
        <condense val="0"/>
        <extend val="0"/>
        <outline val="0"/>
        <shadow val="0"/>
        <vertAlign val="baseline"/>
        <sz val="11"/>
        <color theme="1"/>
        <name val="Calibri"/>
        <family val="2"/>
        <scheme val="minor"/>
      </font>
    </dxf>
    <dxf>
      <numFmt numFmtId="1" formatCode="0"/>
    </dxf>
    <dxf>
      <font>
        <strike val="0"/>
        <condense val="0"/>
        <extend val="0"/>
        <outline val="0"/>
        <shadow val="0"/>
        <vertAlign val="baseline"/>
        <sz val="10"/>
        <color auto="1"/>
        <name val="Arial"/>
        <family val="2"/>
      </font>
    </dxf>
    <dxf>
      <font>
        <strike val="0"/>
        <condense val="0"/>
        <extend val="0"/>
        <outline val="0"/>
        <shadow val="0"/>
        <vertAlign val="baseline"/>
        <sz val="11"/>
        <color theme="1"/>
        <name val="Arial"/>
        <family val="2"/>
      </font>
      <numFmt numFmtId="0" formatCode="General"/>
      <protection locked="1" hidden="0"/>
    </dxf>
    <dxf>
      <font>
        <strike val="0"/>
        <condense val="0"/>
        <extend val="0"/>
        <outline val="0"/>
        <shadow val="0"/>
        <vertAlign val="baseline"/>
        <sz val="11"/>
        <color theme="1"/>
        <name val="Arial"/>
        <family val="2"/>
      </font>
      <protection locked="1" hidden="0"/>
    </dxf>
    <dxf>
      <font>
        <strike val="0"/>
        <condense val="0"/>
        <extend val="0"/>
        <outline val="0"/>
        <shadow val="0"/>
        <vertAlign val="baseline"/>
        <sz val="11"/>
        <color theme="1"/>
        <name val="Arial"/>
        <family val="2"/>
      </font>
      <numFmt numFmtId="1" formatCode="0"/>
      <protection locked="1" hidden="0"/>
    </dxf>
    <dxf>
      <font>
        <strike val="0"/>
        <condense val="0"/>
        <extend val="0"/>
        <outline val="0"/>
        <shadow val="0"/>
        <vertAlign val="baseline"/>
        <sz val="11"/>
        <color theme="1"/>
        <name val="Arial"/>
        <family val="2"/>
      </font>
      <numFmt numFmtId="1" formatCode="0"/>
      <protection locked="1" hidden="0"/>
    </dxf>
    <dxf>
      <font>
        <strike val="0"/>
        <condense val="0"/>
        <extend val="0"/>
        <outline val="0"/>
        <shadow val="0"/>
        <vertAlign val="baseline"/>
        <sz val="11"/>
        <color theme="1"/>
        <name val="Arial"/>
        <family val="2"/>
      </font>
      <numFmt numFmtId="1" formatCode="0"/>
      <protection locked="0" hidden="0"/>
    </dxf>
    <dxf>
      <font>
        <strike val="0"/>
        <condense val="0"/>
        <extend val="0"/>
        <outline val="0"/>
        <shadow val="0"/>
        <vertAlign val="baseline"/>
        <sz val="11"/>
        <color theme="1"/>
        <name val="Arial"/>
        <family val="2"/>
      </font>
      <numFmt numFmtId="1" formatCode="0"/>
      <protection locked="1" hidden="0"/>
    </dxf>
    <dxf>
      <font>
        <strike val="0"/>
        <condense val="0"/>
        <extend val="0"/>
        <outline val="0"/>
        <shadow val="0"/>
        <vertAlign val="baseline"/>
        <sz val="11"/>
        <color theme="1"/>
        <name val="Arial"/>
        <family val="2"/>
      </font>
      <numFmt numFmtId="13" formatCode="0%"/>
      <protection locked="1" hidden="0"/>
    </dxf>
    <dxf>
      <font>
        <strike val="0"/>
        <condense val="0"/>
        <extend val="0"/>
        <outline val="0"/>
        <shadow val="0"/>
        <vertAlign val="baseline"/>
        <sz val="11"/>
        <color theme="1"/>
        <name val="Arial"/>
        <family val="2"/>
      </font>
      <protection locked="1" hidden="0"/>
    </dxf>
    <dxf>
      <font>
        <strike val="0"/>
        <condense val="0"/>
        <extend val="0"/>
        <outline val="0"/>
        <shadow val="0"/>
        <vertAlign val="baseline"/>
        <sz val="11"/>
        <color theme="1"/>
        <name val="Arial"/>
        <family val="2"/>
      </font>
      <protection locked="1" hidden="0"/>
    </dxf>
    <dxf>
      <font>
        <strike val="0"/>
        <condense val="0"/>
        <extend val="0"/>
        <outline val="0"/>
        <shadow val="0"/>
        <vertAlign val="baseline"/>
        <sz val="11"/>
        <color theme="1"/>
        <name val="Arial"/>
        <family val="2"/>
      </font>
      <protection locked="1" hidden="0"/>
    </dxf>
    <dxf>
      <font>
        <strike val="0"/>
        <condense val="0"/>
        <extend val="0"/>
        <outline val="0"/>
        <shadow val="0"/>
        <vertAlign val="baseline"/>
        <sz val="11"/>
        <color theme="1"/>
        <name val="Arial"/>
        <family val="2"/>
      </font>
      <protection locked="1" hidden="0"/>
    </dxf>
    <dxf>
      <font>
        <strike val="0"/>
        <condense val="0"/>
        <extend val="0"/>
        <outline val="0"/>
        <shadow val="0"/>
        <vertAlign val="baseline"/>
        <sz val="11"/>
        <color theme="1"/>
        <name val="Arial"/>
        <family val="2"/>
      </font>
      <protection locked="1"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srcRect l="16499" t="59438" r="68250" b="39095"/>
        <a:stretch>
          <a:fillRect/>
        </a:stretch>
      </xdr:blipFill>
      <xdr:spPr bwMode="auto">
        <a:xfrm>
          <a:off x="4044835" y="3142211"/>
          <a:ext cx="0" cy="160020"/>
        </a:xfrm>
        <a:prstGeom prst="rect">
          <a:avLst/>
        </a:prstGeom>
        <a:noFill/>
        <a:ln>
          <a:noFill/>
          <a:prstDash val="solid"/>
        </a:ln>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srcRect l="15750" t="10970" r="38251" b="36562"/>
        <a:stretch>
          <a:fillRect/>
        </a:stretch>
      </xdr:blipFill>
      <xdr:spPr bwMode="auto">
        <a:xfrm>
          <a:off x="114300" y="3939540"/>
          <a:ext cx="0" cy="5438602"/>
        </a:xfrm>
        <a:prstGeom prst="rect">
          <a:avLst/>
        </a:prstGeom>
        <a:noFill/>
        <a:ln>
          <a:noFill/>
          <a:prstDash val="solid"/>
        </a:ln>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srcRect l="22874" t="22688" r="41251" b="65625"/>
        <a:stretch>
          <a:fillRect/>
        </a:stretch>
      </xdr:blipFill>
      <xdr:spPr bwMode="auto">
        <a:xfrm>
          <a:off x="533400" y="10565476"/>
          <a:ext cx="0" cy="1263535"/>
        </a:xfrm>
        <a:prstGeom prst="rect">
          <a:avLst/>
        </a:prstGeom>
        <a:noFill/>
        <a:ln>
          <a:noFill/>
          <a:prstDash val="solid"/>
        </a:ln>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srcRect l="15750" t="10970" r="38251" b="36562"/>
        <a:stretch>
          <a:fillRect/>
        </a:stretch>
      </xdr:blipFill>
      <xdr:spPr bwMode="auto">
        <a:xfrm>
          <a:off x="76200" y="3931920"/>
          <a:ext cx="0" cy="5438602"/>
        </a:xfrm>
        <a:prstGeom prst="rect">
          <a:avLst/>
        </a:prstGeom>
        <a:noFill/>
        <a:ln>
          <a:noFill/>
          <a:prstDash val="solid"/>
        </a:ln>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srcRect l="22874" t="22688" r="41251" b="65625"/>
        <a:stretch>
          <a:fillRect/>
        </a:stretch>
      </xdr:blipFill>
      <xdr:spPr bwMode="auto">
        <a:xfrm>
          <a:off x="525780" y="10565476"/>
          <a:ext cx="0" cy="1263535"/>
        </a:xfrm>
        <a:prstGeom prst="rect">
          <a:avLst/>
        </a:prstGeom>
        <a:noFill/>
        <a:ln>
          <a:noFill/>
          <a:prstDash val="solid"/>
        </a:ln>
      </xdr:spPr>
    </xdr:pic>
    <xdr:clientData/>
  </xdr:twoCellAnchor>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a:ln>
          <a:prstDash val="solid"/>
        </a:ln>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518707" y="119324"/>
          <a:ext cx="1132668" cy="1047585"/>
        </a:xfrm>
        <a:prstGeom prst="rect">
          <a:avLst/>
        </a:prstGeom>
        <a:noFill/>
        <a:ln>
          <a:noFill/>
          <a:prstDash val="solid"/>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CDLAC_Data" displayName="CDLAC_Data" ref="BD2:BF110" totalsRowShown="0" headerRowDxfId="114">
  <autoFilter ref="BD2:BF110" xr:uid="{00000000-0009-0000-0100-000001000000}"/>
  <tableColumns count="3">
    <tableColumn id="1" xr3:uid="{00000000-0010-0000-0000-000001000000}" name="Key"/>
    <tableColumn id="2" xr3:uid="{00000000-0010-0000-0000-000002000000}" name="Value" dataDxfId="113"/>
    <tableColumn id="3" xr3:uid="{00000000-0010-0000-0000-000003000000}"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5" displayName="Table25" ref="BM8:BM13" totalsRowShown="0" headerRowDxfId="112" dataDxfId="111" headerRowCellStyle="Normal 16 3" dataCellStyle="Normal 16 3">
  <autoFilter ref="BM8:BM13" xr:uid="{00000000-0009-0000-0100-000002000000}"/>
  <tableColumns count="1">
    <tableColumn id="1" xr3:uid="{00000000-0010-0000-0100-000001000000}" name="Construction Type" dataDxfId="110"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Cdlac" displayName="Cdlac" ref="L19:U54" totalsRowShown="0" headerRowDxfId="126" dataDxfId="125" headerRowCellStyle="Normal 15" dataCellStyle="Normal 15">
  <autoFilter ref="L19:U54" xr:uid="{00000000-0009-0000-0100-000003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00000000-0010-0000-0200-000002000000}" name="Bedrooms" dataDxfId="124" dataCellStyle="Normal 15">
      <calculatedColumnFormula>IFERROR(MIN(4,MATCH(Application!B726,UnitSizes,0)-1),"")</calculatedColumnFormula>
    </tableColumn>
    <tableColumn id="3" xr3:uid="{00000000-0010-0000-0200-000003000000}" name="Quantity" dataDxfId="123" dataCellStyle="Normal 15">
      <calculatedColumnFormula>Application!G726</calculatedColumnFormula>
    </tableColumn>
    <tableColumn id="6" xr3:uid="{00000000-0010-0000-0200-000006000000}" name="iAMI" dataDxfId="122" dataCellStyle="Percent">
      <calculatedColumnFormula>Application!AC726</calculatedColumnFormula>
    </tableColumn>
    <tableColumn id="7" xr3:uid="{00000000-0010-0000-0200-000007000000}" name="AMI" dataDxfId="121" dataCellStyle="Percent">
      <calculatedColumnFormula>IF(Cdlac[[#This Row],[Quantity]]&gt;0,IF(Cdlac[[#This Row],[Federal]],30%,IF(AND(OR(NOT($G$38),$G$38=""),$G$43),40%,Cdlac[[#This Row],[iAMI]])),"")</calculatedColumnFormula>
    </tableColumn>
    <tableColumn id="8" xr3:uid="{00000000-0010-0000-0200-000008000000}" name="Restricted Rent" dataDxfId="120" dataCellStyle="Normal 15">
      <calculatedColumnFormula array="1">IF(Cdlac[[#This Row],[Quantity]]&gt;0,INDEX(TcacRents,$P$18,Cdlac[[#This Row],[Bedrooms]]+1)*Cdlac[[#This Row],[AMI]],"")</calculatedColumnFormula>
    </tableColumn>
    <tableColumn id="1" xr3:uid="{00000000-0010-0000-0200-000001000000}" name="Preservation Rent" dataDxfId="119" dataCellStyle="Normal 15">
      <calculatedColumnFormula>+Cdlac[[#This Row],[Restricted Rent]]-100</calculatedColumnFormula>
    </tableColumn>
    <tableColumn id="9" xr3:uid="{00000000-0010-0000-0200-000009000000}" name="Fair Market Rent" dataDxfId="118" dataCellStyle="Normal 15">
      <calculatedColumnFormula array="1">IF(Cdlac[[#This Row],[Quantity]]&gt;0,INDEX(HudFmrs,$P$18,Cdlac[[#This Row],[Bedrooms]]+1),"")</calculatedColumnFormula>
    </tableColumn>
    <tableColumn id="10" xr3:uid="{00000000-0010-0000-0200-00000A000000}" name="Delta" dataDxfId="117"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00000000-0010-0000-0200-00000B000000}" name="Population" dataDxfId="116" dataCellStyle="Normal 15">
      <calculatedColumnFormula>IF(Cdlac[[#This Row],[Quantity]]&gt;0,AND(Application!AK726&lt;&gt;"N/A",Application!AK726&lt;&gt;"")*Cdlac[[#This Row],[Quantity]],"")</calculatedColumnFormula>
    </tableColumn>
    <tableColumn id="4" xr3:uid="{00000000-0010-0000-0200-000004000000}" name="Federal" dataDxfId="115"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comments" Target="../comments1.xml"/><Relationship Id="rId2" Type="http://schemas.openxmlformats.org/officeDocument/2006/relationships/hyperlink" Target="https://www.treasurer.ca.gov/ctcac/2026/4-instructions.asp" TargetMode="External"/><Relationship Id="rId1" Type="http://schemas.openxmlformats.org/officeDocument/2006/relationships/hyperlink" Target="https://www.treasurer.ca.gov/ctcac/payment.asp"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dlac/contacts.asp" TargetMode="External"/><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2.xml"/><Relationship Id="rId2" Type="http://schemas.openxmlformats.org/officeDocument/2006/relationships/hyperlink" Target="http://findyourrep.legislature.ca.gov/" TargetMode="External"/><Relationship Id="rId1" Type="http://schemas.openxmlformats.org/officeDocument/2006/relationships/hyperlink" Target="http://www.treasurer.ca.gov/ctcac/2018/lra/contact.pdf" TargetMode="External"/><Relationship Id="rId6" Type="http://schemas.openxmlformats.org/officeDocument/2006/relationships/table" Target="../tables/table1.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1"/>
  <sheetViews>
    <sheetView showGridLines="0" topLeftCell="A136" workbookViewId="0">
      <selection activeCell="C175" sqref="C175"/>
    </sheetView>
  </sheetViews>
  <sheetFormatPr defaultColWidth="0" defaultRowHeight="13.2" zeroHeight="1"/>
  <cols>
    <col min="1" max="5" width="2.5546875" customWidth="1"/>
    <col min="6" max="6" width="3" customWidth="1"/>
    <col min="7" max="36" width="2.5546875" customWidth="1"/>
    <col min="37" max="38" width="2.6640625" customWidth="1"/>
    <col min="39" max="39" width="2.5546875" hidden="1" customWidth="1"/>
    <col min="40" max="16384" width="2.5546875" hidden="1"/>
  </cols>
  <sheetData>
    <row r="1" spans="1:38">
      <c r="A1" s="1304" t="s">
        <v>112</v>
      </c>
      <c r="B1" s="1298"/>
      <c r="C1" s="1298"/>
      <c r="D1" s="1298"/>
      <c r="E1" s="1298"/>
      <c r="F1" s="1298"/>
      <c r="G1" s="1298"/>
      <c r="H1" s="1298"/>
      <c r="I1" s="1298"/>
      <c r="J1" s="1298"/>
      <c r="K1" s="1298"/>
      <c r="L1" s="1298"/>
      <c r="M1" s="1298"/>
      <c r="N1" s="1298"/>
      <c r="O1" s="1298"/>
      <c r="P1" s="1298"/>
      <c r="Q1" s="1298"/>
      <c r="R1" s="1298"/>
      <c r="S1" s="1298"/>
      <c r="T1" s="1298"/>
      <c r="U1" s="1298"/>
      <c r="V1" s="1298"/>
      <c r="W1" s="1298"/>
      <c r="X1" s="1298"/>
      <c r="Y1" s="1298"/>
      <c r="Z1" s="1298"/>
      <c r="AA1" s="1298"/>
      <c r="AB1" s="1298"/>
      <c r="AC1" s="1298"/>
      <c r="AD1" s="1298"/>
      <c r="AE1" s="1298"/>
      <c r="AF1" s="1298"/>
      <c r="AG1" s="1298"/>
      <c r="AH1" s="1298"/>
      <c r="AI1" s="1298"/>
      <c r="AJ1" s="1298"/>
      <c r="AK1" s="1298"/>
      <c r="AL1" s="1298"/>
    </row>
    <row r="2" spans="1:38" ht="13.8" customHeight="1" thickBo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row>
    <row r="3" spans="1:38" ht="13.8" customHeight="1" thickTop="1"/>
    <row r="4" spans="1:38" s="5" customFormat="1">
      <c r="B4" s="11" t="s">
        <v>113</v>
      </c>
      <c r="C4" s="11" t="s">
        <v>114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115</v>
      </c>
      <c r="D6" s="2" t="s">
        <v>116</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99" t="s">
        <v>117</v>
      </c>
      <c r="E7" s="1298"/>
      <c r="F7" s="1298"/>
      <c r="G7" s="1298"/>
      <c r="H7" s="1298"/>
      <c r="I7" s="1298"/>
      <c r="J7" s="1298"/>
      <c r="K7" s="1298"/>
      <c r="L7" s="1298"/>
      <c r="M7" s="1298"/>
      <c r="N7" s="1298"/>
      <c r="O7" s="1298"/>
      <c r="P7" s="1298"/>
      <c r="Q7" s="1298"/>
      <c r="R7" s="1298"/>
      <c r="S7" s="1298"/>
      <c r="T7" s="1298"/>
      <c r="U7" s="1298"/>
      <c r="V7" s="1298"/>
      <c r="W7" s="1298"/>
      <c r="X7" s="1298"/>
      <c r="Y7" s="1298"/>
      <c r="Z7" s="1298"/>
      <c r="AA7" s="1298"/>
      <c r="AB7" s="1298"/>
      <c r="AC7" s="1298"/>
      <c r="AD7" s="1298"/>
      <c r="AE7" s="1298"/>
      <c r="AF7" s="1298"/>
      <c r="AG7" s="1298"/>
      <c r="AH7" s="1298"/>
      <c r="AI7" s="1298"/>
      <c r="AJ7" s="1298"/>
      <c r="AK7" s="1298"/>
      <c r="AL7" s="455"/>
    </row>
    <row r="8" spans="1:38">
      <c r="A8" s="204"/>
      <c r="B8" s="204"/>
      <c r="C8" s="205"/>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455"/>
    </row>
    <row r="9" spans="1:38">
      <c r="A9" s="204"/>
      <c r="B9" s="204"/>
      <c r="C9" s="205"/>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99" t="s">
        <v>118</v>
      </c>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455"/>
    </row>
    <row r="12" spans="1:38">
      <c r="A12" s="204"/>
      <c r="B12" s="204"/>
      <c r="C12" s="205"/>
      <c r="D12" s="1298"/>
      <c r="E12" s="1298"/>
      <c r="F12" s="1298"/>
      <c r="G12" s="1298"/>
      <c r="H12" s="1298"/>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c r="AL12" s="455"/>
    </row>
    <row r="13" spans="1:38">
      <c r="A13" s="204"/>
      <c r="B13" s="204"/>
      <c r="C13" s="205"/>
      <c r="D13" s="1298"/>
      <c r="E13" s="1298"/>
      <c r="F13" s="1298"/>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99" t="s">
        <v>119</v>
      </c>
      <c r="E15" s="1298"/>
      <c r="F15" s="1298"/>
      <c r="G15" s="1298"/>
      <c r="H15" s="1298"/>
      <c r="I15" s="1298"/>
      <c r="J15" s="1298"/>
      <c r="K15" s="1298"/>
      <c r="L15" s="1298"/>
      <c r="M15" s="1298"/>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c r="AL15" s="455"/>
    </row>
    <row r="16" spans="1:38" ht="13.2" customHeight="1">
      <c r="A16" s="204"/>
      <c r="B16" s="204"/>
      <c r="C16" s="205"/>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1298"/>
      <c r="AL16" s="455"/>
    </row>
    <row r="17" spans="1:38">
      <c r="A17" s="204"/>
      <c r="B17" s="204"/>
      <c r="C17" s="205"/>
      <c r="D17" s="1298"/>
      <c r="E17" s="1298"/>
      <c r="F17" s="1298"/>
      <c r="G17" s="1298"/>
      <c r="H17" s="1298"/>
      <c r="I17" s="1298"/>
      <c r="J17" s="1298"/>
      <c r="K17" s="1298"/>
      <c r="L17" s="1298"/>
      <c r="M17" s="1298"/>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c r="AL17" s="455"/>
    </row>
    <row r="18" spans="1:38">
      <c r="A18" s="204"/>
      <c r="B18" s="204"/>
      <c r="C18" s="205"/>
      <c r="D18" s="519" t="s">
        <v>120</v>
      </c>
      <c r="E18" s="441"/>
      <c r="G18" s="441"/>
      <c r="H18" s="441"/>
      <c r="I18" s="441"/>
      <c r="J18" s="1308" t="s">
        <v>121</v>
      </c>
      <c r="K18" s="1298"/>
      <c r="L18" s="1298"/>
      <c r="M18" s="1298"/>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c r="AL18" s="455"/>
    </row>
    <row r="19" spans="1:38">
      <c r="A19" s="204"/>
      <c r="B19" s="204"/>
      <c r="C19" s="205"/>
      <c r="D19" s="441"/>
      <c r="E19" s="441"/>
      <c r="F19" s="569"/>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99" t="s">
        <v>122</v>
      </c>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c r="AL20" s="204"/>
    </row>
    <row r="21" spans="1:38">
      <c r="A21" s="204"/>
      <c r="B21" s="204"/>
      <c r="C21" s="205"/>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c r="AL21" s="204"/>
    </row>
    <row r="22" spans="1:38">
      <c r="A22" s="204"/>
      <c r="B22" s="204"/>
      <c r="C22" s="205"/>
      <c r="D22" s="1298"/>
      <c r="E22" s="1298"/>
      <c r="F22" s="1298"/>
      <c r="G22" s="1298"/>
      <c r="H22" s="1298"/>
      <c r="I22" s="1298"/>
      <c r="J22" s="1298"/>
      <c r="K22" s="1298"/>
      <c r="L22" s="1298"/>
      <c r="M22" s="1298"/>
      <c r="N22" s="1298"/>
      <c r="O22" s="1298"/>
      <c r="P22" s="1298"/>
      <c r="Q22" s="1298"/>
      <c r="R22" s="1298"/>
      <c r="S22" s="1298"/>
      <c r="T22" s="1298"/>
      <c r="U22" s="1298"/>
      <c r="V22" s="1298"/>
      <c r="W22" s="1298"/>
      <c r="X22" s="1298"/>
      <c r="Y22" s="1298"/>
      <c r="Z22" s="1298"/>
      <c r="AA22" s="1298"/>
      <c r="AB22" s="1298"/>
      <c r="AC22" s="1298"/>
      <c r="AD22" s="1298"/>
      <c r="AE22" s="1298"/>
      <c r="AF22" s="1298"/>
      <c r="AG22" s="1298"/>
      <c r="AH22" s="1298"/>
      <c r="AI22" s="1298"/>
      <c r="AJ22" s="1298"/>
      <c r="AK22" s="1298"/>
      <c r="AL22" s="204"/>
    </row>
    <row r="23" spans="1:38" ht="13.2" customHeight="1">
      <c r="A23" s="204"/>
      <c r="B23" s="204"/>
      <c r="C23" s="205"/>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204"/>
    </row>
    <row r="24" spans="1:38">
      <c r="A24" s="204"/>
      <c r="B24" s="204"/>
      <c r="C24" s="205"/>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204"/>
    </row>
    <row r="25" spans="1:38">
      <c r="A25" s="204"/>
      <c r="B25" s="204"/>
      <c r="C25" s="205"/>
      <c r="D25" s="1298"/>
      <c r="E25" s="1298"/>
      <c r="F25" s="1298"/>
      <c r="G25" s="1298"/>
      <c r="H25" s="1298"/>
      <c r="I25" s="1298"/>
      <c r="J25" s="1298"/>
      <c r="K25" s="1298"/>
      <c r="L25" s="1298"/>
      <c r="M25" s="1298"/>
      <c r="N25" s="1298"/>
      <c r="O25" s="1298"/>
      <c r="P25" s="1298"/>
      <c r="Q25" s="1298"/>
      <c r="R25" s="1298"/>
      <c r="S25" s="1298"/>
      <c r="T25" s="1298"/>
      <c r="U25" s="1298"/>
      <c r="V25" s="1298"/>
      <c r="W25" s="1298"/>
      <c r="X25" s="1298"/>
      <c r="Y25" s="1298"/>
      <c r="Z25" s="1298"/>
      <c r="AA25" s="1298"/>
      <c r="AB25" s="1298"/>
      <c r="AC25" s="1298"/>
      <c r="AD25" s="1298"/>
      <c r="AE25" s="1298"/>
      <c r="AF25" s="1298"/>
      <c r="AG25" s="1298"/>
      <c r="AH25" s="1298"/>
      <c r="AI25" s="1298"/>
      <c r="AJ25" s="1298"/>
      <c r="AK25" s="1298"/>
      <c r="AL25" s="204"/>
    </row>
    <row r="26" spans="1:38">
      <c r="A26" s="204"/>
      <c r="B26" s="204"/>
      <c r="C26" s="205"/>
      <c r="D26" s="1298"/>
      <c r="E26" s="1298"/>
      <c r="F26" s="1298"/>
      <c r="G26" s="1298"/>
      <c r="H26" s="1298"/>
      <c r="I26" s="1298"/>
      <c r="J26" s="1298"/>
      <c r="K26" s="1298"/>
      <c r="L26" s="1298"/>
      <c r="M26" s="1298"/>
      <c r="N26" s="1298"/>
      <c r="O26" s="1298"/>
      <c r="P26" s="1298"/>
      <c r="Q26" s="1298"/>
      <c r="R26" s="1298"/>
      <c r="S26" s="1298"/>
      <c r="T26" s="1298"/>
      <c r="U26" s="1298"/>
      <c r="V26" s="1298"/>
      <c r="W26" s="1298"/>
      <c r="X26" s="1298"/>
      <c r="Y26" s="1298"/>
      <c r="Z26" s="1298"/>
      <c r="AA26" s="1298"/>
      <c r="AB26" s="1298"/>
      <c r="AC26" s="1298"/>
      <c r="AD26" s="1298"/>
      <c r="AE26" s="1298"/>
      <c r="AF26" s="1298"/>
      <c r="AG26" s="1298"/>
      <c r="AH26" s="1298"/>
      <c r="AI26" s="1298"/>
      <c r="AJ26" s="1298"/>
      <c r="AK26" s="1298"/>
      <c r="AL26" s="204"/>
    </row>
    <row r="27" spans="1:38">
      <c r="A27" s="204"/>
      <c r="B27" s="204"/>
      <c r="C27" s="205"/>
      <c r="D27" s="1298"/>
      <c r="E27" s="1298"/>
      <c r="F27" s="1298"/>
      <c r="G27" s="1298"/>
      <c r="H27" s="1298"/>
      <c r="I27" s="1298"/>
      <c r="J27" s="1298"/>
      <c r="K27" s="1298"/>
      <c r="L27" s="1298"/>
      <c r="M27" s="1298"/>
      <c r="N27" s="1298"/>
      <c r="O27" s="1298"/>
      <c r="P27" s="1298"/>
      <c r="Q27" s="1298"/>
      <c r="R27" s="1298"/>
      <c r="S27" s="1298"/>
      <c r="T27" s="1298"/>
      <c r="U27" s="1298"/>
      <c r="V27" s="1298"/>
      <c r="W27" s="1298"/>
      <c r="X27" s="1298"/>
      <c r="Y27" s="1298"/>
      <c r="Z27" s="1298"/>
      <c r="AA27" s="1298"/>
      <c r="AB27" s="1298"/>
      <c r="AC27" s="1298"/>
      <c r="AD27" s="1298"/>
      <c r="AE27" s="1298"/>
      <c r="AF27" s="1298"/>
      <c r="AG27" s="1298"/>
      <c r="AH27" s="1298"/>
      <c r="AI27" s="1298"/>
      <c r="AJ27" s="1298"/>
      <c r="AK27" s="1298"/>
      <c r="AL27" s="204"/>
    </row>
    <row r="28" spans="1:38">
      <c r="A28" s="204"/>
      <c r="B28" s="204"/>
      <c r="C28" s="205"/>
      <c r="D28" s="1298"/>
      <c r="E28" s="1298"/>
      <c r="F28" s="1298"/>
      <c r="G28" s="1298"/>
      <c r="H28" s="1298"/>
      <c r="I28" s="1298"/>
      <c r="J28" s="1298"/>
      <c r="K28" s="1298"/>
      <c r="L28" s="1298"/>
      <c r="M28" s="1298"/>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99" t="s">
        <v>123</v>
      </c>
      <c r="E30" s="1298"/>
      <c r="F30" s="1298"/>
      <c r="G30" s="1298"/>
      <c r="H30" s="1298"/>
      <c r="I30" s="1298"/>
      <c r="J30" s="1298"/>
      <c r="K30" s="1298"/>
      <c r="L30" s="1298"/>
      <c r="M30" s="1298"/>
      <c r="N30" s="1298"/>
      <c r="O30" s="1298"/>
      <c r="P30" s="1298"/>
      <c r="Q30" s="1298"/>
      <c r="R30" s="1298"/>
      <c r="S30" s="1298"/>
      <c r="T30" s="1298"/>
      <c r="U30" s="1298"/>
      <c r="V30" s="1298"/>
      <c r="W30" s="1298"/>
      <c r="X30" s="1298"/>
      <c r="Y30" s="1298"/>
      <c r="Z30" s="1298"/>
      <c r="AA30" s="1298"/>
      <c r="AB30" s="1298"/>
      <c r="AC30" s="1298"/>
      <c r="AD30" s="1298"/>
      <c r="AE30" s="1298"/>
      <c r="AF30" s="1298"/>
      <c r="AG30" s="1298"/>
      <c r="AH30" s="1298"/>
      <c r="AI30" s="1298"/>
      <c r="AJ30" s="1298"/>
      <c r="AK30" s="1298"/>
      <c r="AL30" s="204"/>
    </row>
    <row r="31" spans="1:38">
      <c r="A31" s="204"/>
      <c r="B31" s="204"/>
      <c r="C31" s="205"/>
      <c r="D31" s="455"/>
      <c r="E31" s="1309" t="s">
        <v>124</v>
      </c>
      <c r="F31" s="1298"/>
      <c r="G31" s="1298"/>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8"/>
      <c r="AD31" s="1298"/>
      <c r="AE31" s="1298"/>
      <c r="AF31" s="1298"/>
      <c r="AG31" s="1298"/>
      <c r="AH31" s="1298"/>
      <c r="AI31" s="1298"/>
      <c r="AJ31" s="1298"/>
      <c r="AK31" s="1298"/>
      <c r="AL31" s="204"/>
    </row>
    <row r="32" spans="1:38">
      <c r="A32" s="4"/>
      <c r="C32" s="2"/>
    </row>
    <row r="33" spans="1:38">
      <c r="A33" s="4"/>
      <c r="D33" s="1306" t="s">
        <v>125</v>
      </c>
      <c r="E33" s="1298"/>
      <c r="F33" s="1298"/>
      <c r="G33" s="1298"/>
      <c r="H33" s="1298"/>
      <c r="I33" s="1298"/>
      <c r="J33" s="1298"/>
      <c r="K33" s="1298"/>
      <c r="L33" s="1298"/>
      <c r="M33" s="1298"/>
      <c r="N33" s="1298"/>
      <c r="O33" s="1298"/>
      <c r="P33" s="1298"/>
      <c r="Q33" s="1298"/>
      <c r="R33" s="1298"/>
      <c r="S33" s="1298"/>
      <c r="T33" s="1298"/>
      <c r="U33" s="1298"/>
      <c r="V33" s="1298"/>
      <c r="W33" s="1298"/>
      <c r="X33" s="1298"/>
      <c r="Y33" s="1298"/>
      <c r="Z33" s="1298"/>
      <c r="AA33" s="1298"/>
      <c r="AB33" s="1298"/>
      <c r="AC33" s="1298"/>
      <c r="AD33" s="1298"/>
      <c r="AE33" s="1298"/>
      <c r="AF33" s="1298"/>
      <c r="AG33" s="1298"/>
      <c r="AH33" s="1298"/>
      <c r="AI33" s="1298"/>
      <c r="AJ33" s="1298"/>
      <c r="AK33" s="1298"/>
    </row>
    <row r="34" spans="1:38">
      <c r="A34" s="4"/>
      <c r="D34" s="1298"/>
      <c r="E34" s="1298"/>
      <c r="F34" s="1298"/>
      <c r="G34" s="1298"/>
      <c r="H34" s="1298"/>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row>
    <row r="35" spans="1:38">
      <c r="A35" s="4"/>
      <c r="D35" s="120"/>
      <c r="E35" s="1307" t="s">
        <v>126</v>
      </c>
      <c r="F35" s="1298"/>
      <c r="G35" s="1298"/>
      <c r="H35" s="1298"/>
      <c r="I35" s="1298"/>
      <c r="J35" s="1298"/>
      <c r="K35" s="1298"/>
      <c r="L35" s="129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row>
    <row r="36" spans="1:38">
      <c r="A36" s="4"/>
      <c r="D36" s="120"/>
      <c r="E36" s="1307" t="s">
        <v>127</v>
      </c>
      <c r="F36" s="1298"/>
      <c r="G36" s="1298"/>
      <c r="H36" s="1298"/>
      <c r="I36" s="1298"/>
      <c r="J36" s="1298"/>
      <c r="K36" s="1298"/>
      <c r="L36" s="1298"/>
      <c r="M36" s="1298"/>
      <c r="N36" s="1298"/>
      <c r="O36" s="1298"/>
      <c r="P36" s="1298"/>
      <c r="Q36" s="1298"/>
      <c r="R36" s="1298"/>
      <c r="S36" s="1298"/>
      <c r="T36" s="1298"/>
      <c r="U36" s="1298"/>
      <c r="V36" s="1298"/>
      <c r="W36" s="1298"/>
      <c r="X36" s="1298"/>
      <c r="Y36" s="1298"/>
      <c r="Z36" s="1298"/>
      <c r="AA36" s="1298"/>
      <c r="AB36" s="1298"/>
      <c r="AC36" s="1298"/>
      <c r="AD36" s="1298"/>
      <c r="AE36" s="1298"/>
      <c r="AF36" s="1298"/>
      <c r="AG36" s="1298"/>
      <c r="AH36" s="1298"/>
      <c r="AI36" s="1298"/>
      <c r="AJ36" s="1298"/>
      <c r="AK36" s="129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128</v>
      </c>
      <c r="D38" s="2" t="s">
        <v>129</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130</v>
      </c>
      <c r="E39" s="4" t="s">
        <v>131</v>
      </c>
      <c r="F39" s="4"/>
      <c r="G39" s="4"/>
      <c r="H39" s="4"/>
      <c r="I39" s="4"/>
      <c r="J39" s="4"/>
      <c r="K39" s="4"/>
      <c r="L39" s="4"/>
      <c r="M39" s="4"/>
      <c r="N39" s="4"/>
      <c r="O39" s="4"/>
      <c r="P39" s="4"/>
      <c r="Q39" s="4"/>
      <c r="R39" s="4"/>
      <c r="S39" s="4"/>
      <c r="T39" s="4"/>
      <c r="U39" s="4"/>
      <c r="V39" s="4"/>
      <c r="W39" s="4"/>
      <c r="X39" s="4"/>
      <c r="Y39" s="4"/>
      <c r="Z39" s="4"/>
      <c r="AA39" s="4"/>
      <c r="AB39" s="4"/>
    </row>
    <row r="40" spans="1:38" s="1299" customFormat="1" ht="13.2" customHeight="1">
      <c r="A40" s="4"/>
      <c r="B40" s="441"/>
      <c r="C40" s="2"/>
      <c r="D40" s="4"/>
      <c r="E40" s="4" t="s">
        <v>132</v>
      </c>
      <c r="F40" s="1299" t="s">
        <v>133</v>
      </c>
    </row>
    <row r="41" spans="1:38" s="1299" customFormat="1" ht="13.2" customHeight="1">
      <c r="A41" s="4"/>
      <c r="B41" s="441"/>
      <c r="C41" s="2"/>
      <c r="D41" s="4"/>
      <c r="E41" s="4"/>
    </row>
    <row r="42" spans="1:38">
      <c r="A42" s="4"/>
      <c r="C42" s="2"/>
      <c r="D42" s="4"/>
      <c r="E42" s="4"/>
      <c r="F42" s="35" t="s">
        <v>134</v>
      </c>
      <c r="G42" s="4" t="s">
        <v>135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C43" s="2"/>
      <c r="D43" s="4"/>
      <c r="E43" s="3" t="s">
        <v>136</v>
      </c>
      <c r="F43" s="1300" t="s">
        <v>137</v>
      </c>
      <c r="G43" s="1311"/>
      <c r="H43" s="1311"/>
      <c r="I43" s="1311"/>
      <c r="J43" s="1311"/>
      <c r="K43" s="1311"/>
      <c r="L43" s="1311"/>
      <c r="M43" s="1311"/>
      <c r="N43" s="1311"/>
      <c r="O43" s="1311"/>
      <c r="P43" s="1311"/>
      <c r="Q43" s="1311"/>
      <c r="R43" s="1311"/>
      <c r="S43" s="1311"/>
      <c r="T43" s="1311"/>
      <c r="U43" s="1311"/>
      <c r="V43" s="1311"/>
      <c r="W43" s="1311"/>
      <c r="X43" s="1311"/>
      <c r="Y43" s="1311"/>
      <c r="Z43" s="1311"/>
      <c r="AA43" s="1311"/>
      <c r="AB43" s="1311"/>
      <c r="AC43" s="1311"/>
      <c r="AD43" s="1311"/>
      <c r="AE43" s="1311"/>
      <c r="AF43" s="1311"/>
      <c r="AG43" s="1311"/>
      <c r="AH43" s="1311"/>
      <c r="AI43" s="1311"/>
      <c r="AJ43" s="1311"/>
      <c r="AK43" s="1311"/>
      <c r="AL43" s="1311"/>
    </row>
    <row r="44" spans="1:38" s="118" customFormat="1">
      <c r="A44" s="4"/>
      <c r="C44" s="2"/>
      <c r="D44" s="4"/>
      <c r="E44" s="4"/>
      <c r="F44" s="1311"/>
      <c r="G44" s="1311"/>
      <c r="H44" s="1311"/>
      <c r="I44" s="1311"/>
      <c r="J44" s="1311"/>
      <c r="K44" s="1311"/>
      <c r="L44" s="1311"/>
      <c r="M44" s="1311"/>
      <c r="N44" s="1311"/>
      <c r="O44" s="1311"/>
      <c r="P44" s="1311"/>
      <c r="Q44" s="1311"/>
      <c r="R44" s="1311"/>
      <c r="S44" s="1311"/>
      <c r="T44" s="1311"/>
      <c r="U44" s="1311"/>
      <c r="V44" s="1311"/>
      <c r="W44" s="1311"/>
      <c r="X44" s="1311"/>
      <c r="Y44" s="1311"/>
      <c r="Z44" s="1311"/>
      <c r="AA44" s="1311"/>
      <c r="AB44" s="1311"/>
      <c r="AC44" s="1311"/>
      <c r="AD44" s="1311"/>
      <c r="AE44" s="1311"/>
      <c r="AF44" s="1311"/>
      <c r="AG44" s="1311"/>
      <c r="AH44" s="1311"/>
      <c r="AI44" s="1311"/>
      <c r="AJ44" s="1311"/>
      <c r="AK44" s="1311"/>
      <c r="AL44" s="1311"/>
    </row>
    <row r="45" spans="1:38" s="118" customFormat="1" ht="13.2" customHeight="1">
      <c r="A45" s="4"/>
      <c r="C45" s="2"/>
      <c r="D45" s="4"/>
      <c r="E45" s="4"/>
      <c r="F45" s="1311"/>
      <c r="G45" s="1311"/>
      <c r="H45" s="1311"/>
      <c r="I45" s="1311"/>
      <c r="J45" s="1311"/>
      <c r="K45" s="1311"/>
      <c r="L45" s="1311"/>
      <c r="M45" s="1311"/>
      <c r="N45" s="1311"/>
      <c r="O45" s="1311"/>
      <c r="P45" s="1311"/>
      <c r="Q45" s="1311"/>
      <c r="R45" s="1311"/>
      <c r="S45" s="1311"/>
      <c r="T45" s="1311"/>
      <c r="U45" s="1311"/>
      <c r="V45" s="1311"/>
      <c r="W45" s="1311"/>
      <c r="X45" s="1311"/>
      <c r="Y45" s="1311"/>
      <c r="Z45" s="1311"/>
      <c r="AA45" s="1311"/>
      <c r="AB45" s="1311"/>
      <c r="AC45" s="1311"/>
      <c r="AD45" s="1311"/>
      <c r="AE45" s="1311"/>
      <c r="AF45" s="1311"/>
      <c r="AG45" s="1311"/>
      <c r="AH45" s="1311"/>
      <c r="AI45" s="1311"/>
      <c r="AJ45" s="1311"/>
      <c r="AK45" s="1311"/>
      <c r="AL45" s="1311"/>
    </row>
    <row r="46" spans="1:38">
      <c r="A46" s="4"/>
      <c r="C46" s="2"/>
      <c r="D46" s="4"/>
      <c r="E46" s="4"/>
      <c r="F46" s="118" t="s">
        <v>134</v>
      </c>
      <c r="G46" s="3" t="s">
        <v>138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139</v>
      </c>
      <c r="G47" s="4" t="s">
        <v>140</v>
      </c>
      <c r="I47" s="4"/>
      <c r="J47" s="4"/>
      <c r="K47" s="4"/>
      <c r="L47" s="4"/>
      <c r="O47" s="4"/>
      <c r="P47" s="4"/>
      <c r="Q47" s="4"/>
      <c r="R47" s="4"/>
      <c r="S47" s="4"/>
      <c r="T47" s="4"/>
      <c r="U47" s="4"/>
      <c r="V47" s="4"/>
      <c r="W47" s="4"/>
      <c r="X47" s="4"/>
      <c r="Y47" s="4"/>
      <c r="Z47" s="4"/>
      <c r="AA47" s="4"/>
      <c r="AB47" s="4"/>
    </row>
    <row r="48" spans="1:38">
      <c r="A48" s="4"/>
      <c r="C48" s="2"/>
      <c r="D48" s="4"/>
      <c r="E48" s="3" t="s">
        <v>141</v>
      </c>
      <c r="F48" s="1299" t="s">
        <v>142</v>
      </c>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row>
    <row r="49" spans="1:38">
      <c r="A49" s="4"/>
      <c r="C49" s="2"/>
      <c r="D49" s="4"/>
      <c r="E49" s="4"/>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row>
    <row r="50" spans="1:38">
      <c r="A50" s="4"/>
      <c r="C50" s="2"/>
      <c r="D50" s="4"/>
      <c r="F50" s="1298"/>
      <c r="G50" s="1298"/>
      <c r="H50" s="1298"/>
      <c r="I50" s="1298"/>
      <c r="J50" s="1298"/>
      <c r="K50" s="1298"/>
      <c r="L50" s="1298"/>
      <c r="M50" s="1298"/>
      <c r="N50" s="1298"/>
      <c r="O50" s="1298"/>
      <c r="P50" s="1298"/>
      <c r="Q50" s="1298"/>
      <c r="R50" s="1298"/>
      <c r="S50" s="1298"/>
      <c r="T50" s="1298"/>
      <c r="U50" s="1298"/>
      <c r="V50" s="1298"/>
      <c r="W50" s="1298"/>
      <c r="X50" s="1298"/>
      <c r="Y50" s="1298"/>
      <c r="Z50" s="1298"/>
      <c r="AA50" s="1298"/>
      <c r="AB50" s="1298"/>
      <c r="AC50" s="1298"/>
      <c r="AD50" s="1298"/>
      <c r="AE50" s="1298"/>
      <c r="AF50" s="1298"/>
      <c r="AG50" s="1298"/>
      <c r="AH50" s="1298"/>
      <c r="AI50" s="1298"/>
      <c r="AJ50" s="1298"/>
      <c r="AK50" s="1298"/>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143</v>
      </c>
      <c r="E52" s="4" t="s">
        <v>144</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132</v>
      </c>
      <c r="F53" s="3" t="s">
        <v>145</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134</v>
      </c>
      <c r="G54" s="1302" t="s">
        <v>146</v>
      </c>
      <c r="H54" s="1298"/>
      <c r="I54" s="1298"/>
      <c r="J54" s="1298"/>
      <c r="K54" s="1298"/>
      <c r="L54" s="1298"/>
      <c r="M54" s="1298"/>
      <c r="N54" s="1298"/>
      <c r="O54" s="1298"/>
      <c r="P54" s="1298"/>
      <c r="Q54" s="1298"/>
      <c r="R54" s="1298"/>
      <c r="S54" s="1298"/>
      <c r="T54" s="1298"/>
      <c r="U54" s="1298"/>
      <c r="V54" s="1298"/>
      <c r="W54" s="1298"/>
      <c r="X54" s="1298"/>
      <c r="Y54" s="1298"/>
      <c r="Z54" s="1298"/>
      <c r="AA54" s="1298"/>
      <c r="AB54" s="1298"/>
      <c r="AC54" s="1298"/>
      <c r="AD54" s="1298"/>
      <c r="AE54" s="1298"/>
      <c r="AF54" s="1298"/>
      <c r="AG54" s="1298"/>
      <c r="AH54" s="1298"/>
      <c r="AI54" s="1298"/>
      <c r="AJ54" s="1298"/>
      <c r="AK54" s="1298"/>
      <c r="AL54" s="204"/>
    </row>
    <row r="55" spans="1:38" ht="13.2" customHeight="1">
      <c r="A55" s="204"/>
      <c r="B55" s="204"/>
      <c r="C55" s="205"/>
      <c r="D55" s="205"/>
      <c r="E55" s="204"/>
      <c r="F55" s="206"/>
      <c r="G55" s="478" t="s">
        <v>147</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302" t="s">
        <v>148</v>
      </c>
      <c r="H56" s="1298"/>
      <c r="I56" s="1298"/>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139</v>
      </c>
      <c r="G57" s="1302" t="s">
        <v>149</v>
      </c>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8"/>
      <c r="AI57" s="1298"/>
      <c r="AJ57" s="1298"/>
      <c r="AK57" s="1298"/>
      <c r="AL57" s="1298"/>
    </row>
    <row r="58" spans="1:38">
      <c r="A58" s="204"/>
      <c r="B58" s="204"/>
      <c r="C58" s="205"/>
      <c r="D58" s="205"/>
      <c r="E58" s="204"/>
      <c r="F58" s="206"/>
      <c r="G58" s="1298"/>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row>
    <row r="59" spans="1:38">
      <c r="A59" s="204"/>
      <c r="B59" s="204"/>
      <c r="C59" s="205"/>
      <c r="D59" s="205"/>
      <c r="E59" s="204"/>
      <c r="F59" s="206"/>
      <c r="G59" s="479" t="s">
        <v>150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151</v>
      </c>
      <c r="E61" s="4" t="s">
        <v>152</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153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132</v>
      </c>
      <c r="F63" s="4" t="s">
        <v>114</v>
      </c>
      <c r="G63" s="4"/>
      <c r="H63" s="4"/>
      <c r="I63" s="4"/>
      <c r="J63" s="4"/>
      <c r="K63" s="4"/>
      <c r="L63" s="4"/>
      <c r="M63" s="4"/>
      <c r="P63" s="4"/>
      <c r="Q63" s="4"/>
      <c r="R63" s="4"/>
      <c r="S63" s="4"/>
      <c r="T63" s="4"/>
      <c r="U63" s="4"/>
      <c r="V63" s="4"/>
      <c r="W63" s="4"/>
      <c r="X63" s="4"/>
      <c r="Y63" s="4"/>
      <c r="Z63" s="4"/>
      <c r="AA63" s="4"/>
      <c r="AB63" s="4"/>
    </row>
    <row r="64" spans="1:38">
      <c r="A64" s="4"/>
      <c r="C64" s="2"/>
      <c r="D64" s="4"/>
      <c r="E64" s="4"/>
      <c r="F64" t="s">
        <v>134</v>
      </c>
      <c r="G64" s="1299" t="s">
        <v>154</v>
      </c>
      <c r="H64" s="1298"/>
      <c r="I64" s="1298"/>
      <c r="J64" s="1298"/>
      <c r="K64" s="1298"/>
      <c r="L64" s="1298"/>
      <c r="M64" s="1298"/>
      <c r="N64" s="1298"/>
      <c r="O64" s="1298"/>
      <c r="P64" s="1298"/>
      <c r="Q64" s="1298"/>
      <c r="R64" s="1298"/>
      <c r="S64" s="1298"/>
      <c r="T64" s="1298"/>
      <c r="U64" s="1298"/>
      <c r="V64" s="1298"/>
      <c r="W64" s="1298"/>
      <c r="X64" s="1298"/>
      <c r="Y64" s="1298"/>
      <c r="Z64" s="1298"/>
      <c r="AA64" s="1298"/>
      <c r="AB64" s="1298"/>
      <c r="AC64" s="1298"/>
      <c r="AD64" s="1298"/>
      <c r="AE64" s="1298"/>
      <c r="AF64" s="1298"/>
      <c r="AG64" s="1298"/>
      <c r="AH64" s="1298"/>
      <c r="AI64" s="1298"/>
      <c r="AJ64" s="1298"/>
      <c r="AK64" s="1298"/>
    </row>
    <row r="65" spans="1:37">
      <c r="A65" s="4"/>
      <c r="C65" s="2"/>
      <c r="D65" s="4"/>
      <c r="E65" s="4"/>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row>
    <row r="66" spans="1:37">
      <c r="A66" s="4"/>
      <c r="C66" s="2"/>
      <c r="D66" s="4"/>
      <c r="E66" s="4"/>
      <c r="G66" s="1298"/>
      <c r="H66" s="1298"/>
      <c r="I66" s="1298"/>
      <c r="J66" s="1298"/>
      <c r="K66" s="1298"/>
      <c r="L66" s="1298"/>
      <c r="M66" s="1298"/>
      <c r="N66" s="1298"/>
      <c r="O66" s="1298"/>
      <c r="P66" s="1298"/>
      <c r="Q66" s="1298"/>
      <c r="R66" s="1298"/>
      <c r="S66" s="1298"/>
      <c r="T66" s="1298"/>
      <c r="U66" s="1298"/>
      <c r="V66" s="1298"/>
      <c r="W66" s="1298"/>
      <c r="X66" s="1298"/>
      <c r="Y66" s="1298"/>
      <c r="Z66" s="1298"/>
      <c r="AA66" s="1298"/>
      <c r="AB66" s="1298"/>
      <c r="AC66" s="1298"/>
      <c r="AD66" s="1298"/>
      <c r="AE66" s="1298"/>
      <c r="AF66" s="1298"/>
      <c r="AG66" s="1298"/>
      <c r="AH66" s="1298"/>
      <c r="AI66" s="1298"/>
      <c r="AJ66" s="1298"/>
      <c r="AK66" s="1298"/>
    </row>
    <row r="67" spans="1:37" ht="13.2" customHeight="1">
      <c r="A67" s="4"/>
      <c r="C67" s="2"/>
      <c r="D67" s="4"/>
      <c r="E67" s="4"/>
      <c r="F67" t="s">
        <v>139</v>
      </c>
      <c r="G67" s="1299" t="s">
        <v>155</v>
      </c>
      <c r="H67" s="1298"/>
      <c r="I67" s="1298"/>
      <c r="J67" s="1298"/>
      <c r="K67" s="1298"/>
      <c r="L67" s="1298"/>
      <c r="M67" s="1298"/>
      <c r="N67" s="1298"/>
      <c r="O67" s="1298"/>
      <c r="P67" s="1298"/>
      <c r="Q67" s="1298"/>
      <c r="R67" s="1298"/>
      <c r="S67" s="1298"/>
      <c r="T67" s="1298"/>
      <c r="U67" s="1298"/>
      <c r="V67" s="1298"/>
      <c r="W67" s="1298"/>
      <c r="X67" s="1298"/>
      <c r="Y67" s="1298"/>
      <c r="Z67" s="1298"/>
      <c r="AA67" s="1298"/>
      <c r="AB67" s="1298"/>
      <c r="AC67" s="1298"/>
      <c r="AD67" s="1298"/>
      <c r="AE67" s="1298"/>
      <c r="AF67" s="1298"/>
      <c r="AG67" s="1298"/>
      <c r="AH67" s="1298"/>
      <c r="AI67" s="1298"/>
      <c r="AJ67" s="1298"/>
      <c r="AK67" s="1298"/>
    </row>
    <row r="68" spans="1:37">
      <c r="A68" s="4"/>
      <c r="C68" s="2"/>
      <c r="D68" s="4"/>
      <c r="E68" s="4"/>
      <c r="F68" s="27"/>
      <c r="G68" s="1298"/>
      <c r="H68" s="1298"/>
      <c r="I68" s="1298"/>
      <c r="J68" s="1298"/>
      <c r="K68" s="1298"/>
      <c r="L68" s="1298"/>
      <c r="M68" s="1298"/>
      <c r="N68" s="1298"/>
      <c r="O68" s="1298"/>
      <c r="P68" s="1298"/>
      <c r="Q68" s="1298"/>
      <c r="R68" s="1298"/>
      <c r="S68" s="1298"/>
      <c r="T68" s="1298"/>
      <c r="U68" s="1298"/>
      <c r="V68" s="1298"/>
      <c r="W68" s="1298"/>
      <c r="X68" s="1298"/>
      <c r="Y68" s="1298"/>
      <c r="Z68" s="1298"/>
      <c r="AA68" s="1298"/>
      <c r="AB68" s="1298"/>
      <c r="AC68" s="1298"/>
      <c r="AD68" s="1298"/>
      <c r="AE68" s="1298"/>
      <c r="AF68" s="1298"/>
      <c r="AG68" s="1298"/>
      <c r="AH68" s="1298"/>
      <c r="AI68" s="1298"/>
      <c r="AJ68" s="1298"/>
      <c r="AK68" s="1298"/>
    </row>
    <row r="69" spans="1:37">
      <c r="A69" s="4"/>
      <c r="C69" s="2"/>
      <c r="D69" s="4"/>
      <c r="E69" s="4" t="s">
        <v>136</v>
      </c>
      <c r="F69" s="4" t="s">
        <v>156</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134</v>
      </c>
      <c r="G70" s="1299" t="s">
        <v>157</v>
      </c>
      <c r="H70" s="1298"/>
      <c r="I70" s="1298"/>
      <c r="J70" s="1298"/>
      <c r="K70" s="1298"/>
      <c r="L70" s="1298"/>
      <c r="M70" s="1298"/>
      <c r="N70" s="1298"/>
      <c r="O70" s="1298"/>
      <c r="P70" s="1298"/>
      <c r="Q70" s="1298"/>
      <c r="R70" s="1298"/>
      <c r="S70" s="1298"/>
      <c r="T70" s="1298"/>
      <c r="U70" s="1298"/>
      <c r="V70" s="1298"/>
      <c r="W70" s="1298"/>
      <c r="X70" s="1298"/>
      <c r="Y70" s="1298"/>
      <c r="Z70" s="1298"/>
      <c r="AA70" s="1298"/>
      <c r="AB70" s="1298"/>
      <c r="AC70" s="1298"/>
      <c r="AD70" s="1298"/>
      <c r="AE70" s="1298"/>
      <c r="AF70" s="1298"/>
      <c r="AG70" s="1298"/>
      <c r="AH70" s="1298"/>
      <c r="AI70" s="1298"/>
      <c r="AJ70" s="1298"/>
      <c r="AK70" s="1298"/>
    </row>
    <row r="71" spans="1:37">
      <c r="A71" s="4"/>
      <c r="C71" s="2"/>
      <c r="D71" s="4"/>
      <c r="E71" s="4"/>
      <c r="F71" s="8"/>
      <c r="G71" s="1298"/>
      <c r="H71" s="1298"/>
      <c r="I71" s="1298"/>
      <c r="J71" s="1298"/>
      <c r="K71" s="1298"/>
      <c r="L71" s="1298"/>
      <c r="M71" s="1298"/>
      <c r="N71" s="1298"/>
      <c r="O71" s="1298"/>
      <c r="P71" s="1298"/>
      <c r="Q71" s="1298"/>
      <c r="R71" s="1298"/>
      <c r="S71" s="1298"/>
      <c r="T71" s="1298"/>
      <c r="U71" s="1298"/>
      <c r="V71" s="1298"/>
      <c r="W71" s="1298"/>
      <c r="X71" s="1298"/>
      <c r="Y71" s="1298"/>
      <c r="Z71" s="1298"/>
      <c r="AA71" s="1298"/>
      <c r="AB71" s="1298"/>
      <c r="AC71" s="1298"/>
      <c r="AD71" s="1298"/>
      <c r="AE71" s="1298"/>
      <c r="AF71" s="1298"/>
      <c r="AG71" s="1298"/>
      <c r="AH71" s="1298"/>
      <c r="AI71" s="1298"/>
      <c r="AJ71" s="1298"/>
      <c r="AK71" s="1298"/>
    </row>
    <row r="72" spans="1:37">
      <c r="A72" s="4"/>
      <c r="C72" s="2"/>
      <c r="D72" s="4"/>
      <c r="E72" s="4"/>
      <c r="F72" s="8" t="s">
        <v>139</v>
      </c>
      <c r="G72" s="1299" t="s">
        <v>158</v>
      </c>
      <c r="H72" s="1298"/>
      <c r="I72" s="1298"/>
      <c r="J72" s="1298"/>
      <c r="K72" s="1298"/>
      <c r="L72" s="1298"/>
      <c r="M72" s="1298"/>
      <c r="N72" s="1298"/>
      <c r="O72" s="1298"/>
      <c r="P72" s="1298"/>
      <c r="Q72" s="1298"/>
      <c r="R72" s="1298"/>
      <c r="S72" s="1298"/>
      <c r="T72" s="1298"/>
      <c r="U72" s="1298"/>
      <c r="V72" s="1298"/>
      <c r="W72" s="1298"/>
      <c r="X72" s="1298"/>
      <c r="Y72" s="1298"/>
      <c r="Z72" s="1298"/>
      <c r="AA72" s="1298"/>
      <c r="AB72" s="1298"/>
      <c r="AC72" s="1298"/>
      <c r="AD72" s="1298"/>
      <c r="AE72" s="1298"/>
      <c r="AF72" s="1298"/>
      <c r="AG72" s="1298"/>
      <c r="AH72" s="1298"/>
      <c r="AI72" s="1298"/>
      <c r="AJ72" s="1298"/>
      <c r="AK72" s="1298"/>
    </row>
    <row r="73" spans="1:37">
      <c r="A73" s="4"/>
      <c r="C73" s="2"/>
      <c r="D73" s="4"/>
      <c r="E73" s="4"/>
      <c r="F73" s="8"/>
      <c r="G73" s="1298"/>
      <c r="H73" s="1298"/>
      <c r="I73" s="1298"/>
      <c r="J73" s="1298"/>
      <c r="K73" s="1298"/>
      <c r="L73" s="1298"/>
      <c r="M73" s="1298"/>
      <c r="N73" s="1298"/>
      <c r="O73" s="1298"/>
      <c r="P73" s="1298"/>
      <c r="Q73" s="1298"/>
      <c r="R73" s="1298"/>
      <c r="S73" s="1298"/>
      <c r="T73" s="1298"/>
      <c r="U73" s="1298"/>
      <c r="V73" s="1298"/>
      <c r="W73" s="1298"/>
      <c r="X73" s="1298"/>
      <c r="Y73" s="1298"/>
      <c r="Z73" s="1298"/>
      <c r="AA73" s="1298"/>
      <c r="AB73" s="1298"/>
      <c r="AC73" s="1298"/>
      <c r="AD73" s="1298"/>
      <c r="AE73" s="1298"/>
      <c r="AF73" s="1298"/>
      <c r="AG73" s="1298"/>
      <c r="AH73" s="1298"/>
      <c r="AI73" s="1298"/>
      <c r="AJ73" s="1298"/>
      <c r="AK73" s="1298"/>
    </row>
    <row r="74" spans="1:37">
      <c r="A74" s="4"/>
      <c r="C74" s="2"/>
      <c r="D74" s="4"/>
      <c r="E74" s="4"/>
      <c r="F74" s="8"/>
      <c r="G74" s="120" t="s">
        <v>159</v>
      </c>
      <c r="H74" s="4"/>
      <c r="J74" s="120"/>
      <c r="K74" s="120"/>
      <c r="L74" s="120"/>
      <c r="P74" s="4"/>
      <c r="Q74" s="4"/>
      <c r="R74" s="4"/>
      <c r="S74" s="4"/>
      <c r="T74" s="4"/>
      <c r="U74" s="4"/>
      <c r="V74" s="4"/>
      <c r="W74" s="4"/>
      <c r="X74" s="4"/>
      <c r="Y74" s="4"/>
      <c r="Z74" s="4"/>
      <c r="AA74" s="4"/>
      <c r="AB74" s="4"/>
    </row>
    <row r="75" spans="1:37">
      <c r="A75" s="4"/>
      <c r="C75" s="2"/>
      <c r="D75" s="4"/>
      <c r="E75" s="4"/>
      <c r="F75" s="8"/>
      <c r="G75" s="120" t="s">
        <v>160</v>
      </c>
      <c r="J75" s="120"/>
      <c r="K75" s="120"/>
      <c r="L75" s="120"/>
      <c r="P75" s="4"/>
      <c r="Q75" s="4"/>
      <c r="R75" s="4"/>
      <c r="S75" s="4"/>
      <c r="T75" s="4"/>
      <c r="U75" s="4"/>
      <c r="V75" s="4"/>
      <c r="W75" s="4"/>
      <c r="X75" s="4"/>
      <c r="Y75" s="4"/>
      <c r="Z75" s="4"/>
      <c r="AA75" s="4"/>
      <c r="AB75" s="4"/>
    </row>
    <row r="76" spans="1:37">
      <c r="A76" s="4"/>
      <c r="C76" s="2"/>
      <c r="D76" s="4"/>
      <c r="E76" s="4"/>
      <c r="F76" s="8" t="s">
        <v>161</v>
      </c>
      <c r="G76" s="4" t="s">
        <v>162</v>
      </c>
      <c r="H76" s="4"/>
      <c r="I76" s="4"/>
      <c r="K76" s="4"/>
      <c r="L76" s="4"/>
      <c r="M76" s="4"/>
      <c r="P76" s="4"/>
      <c r="Q76" s="4"/>
      <c r="R76" s="4"/>
      <c r="S76" s="4"/>
      <c r="T76" s="4"/>
      <c r="U76" s="4"/>
      <c r="V76" s="4"/>
      <c r="W76" s="4"/>
      <c r="X76" s="4"/>
      <c r="Y76" s="4"/>
      <c r="Z76" s="4"/>
      <c r="AA76" s="4"/>
      <c r="AB76" s="4"/>
    </row>
    <row r="77" spans="1:37">
      <c r="A77" s="4"/>
      <c r="C77" s="2"/>
      <c r="D77" s="4"/>
      <c r="E77" s="4"/>
      <c r="F77" s="4"/>
      <c r="G77" s="4" t="s">
        <v>163</v>
      </c>
      <c r="H77" s="4" t="s">
        <v>164</v>
      </c>
      <c r="K77" s="4"/>
      <c r="L77" s="4"/>
      <c r="M77" s="4"/>
      <c r="P77" s="4"/>
      <c r="Q77" s="4"/>
      <c r="R77" s="4"/>
      <c r="S77" s="4"/>
      <c r="T77" s="4"/>
      <c r="U77" s="4"/>
      <c r="V77" s="4"/>
      <c r="W77" s="4"/>
      <c r="X77" s="4"/>
      <c r="Y77" s="4"/>
      <c r="Z77" s="4"/>
      <c r="AA77" s="4"/>
      <c r="AB77" s="4"/>
    </row>
    <row r="78" spans="1:37">
      <c r="A78" s="4"/>
      <c r="C78" s="2"/>
      <c r="D78" s="4"/>
      <c r="E78" s="4"/>
      <c r="F78" s="4"/>
      <c r="G78" s="4" t="s">
        <v>165</v>
      </c>
      <c r="H78" s="4" t="s">
        <v>166</v>
      </c>
      <c r="K78" s="4"/>
      <c r="L78" s="4"/>
      <c r="M78" s="4"/>
      <c r="P78" s="4"/>
      <c r="Q78" s="4"/>
      <c r="R78" s="4"/>
      <c r="S78" s="4"/>
      <c r="T78" s="4"/>
      <c r="U78" s="4"/>
      <c r="V78" s="4"/>
      <c r="W78" s="4"/>
      <c r="X78" s="4"/>
      <c r="Y78" s="4"/>
      <c r="Z78" s="4"/>
      <c r="AA78" s="4"/>
      <c r="AB78" s="4"/>
    </row>
    <row r="79" spans="1:37">
      <c r="A79" s="4"/>
      <c r="C79" s="2"/>
      <c r="D79" s="4"/>
      <c r="E79" s="4" t="s">
        <v>141</v>
      </c>
      <c r="F79" s="4" t="s">
        <v>167</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99" t="s">
        <v>168</v>
      </c>
      <c r="H80" s="1298"/>
      <c r="I80" s="1298"/>
      <c r="J80" s="1298"/>
      <c r="K80" s="1298"/>
      <c r="L80" s="1298"/>
      <c r="M80" s="1298"/>
      <c r="N80" s="1298"/>
      <c r="O80" s="1298"/>
      <c r="P80" s="1298"/>
      <c r="Q80" s="1298"/>
      <c r="R80" s="1298"/>
      <c r="S80" s="1298"/>
      <c r="T80" s="1298"/>
      <c r="U80" s="1298"/>
      <c r="V80" s="1298"/>
      <c r="W80" s="1298"/>
      <c r="X80" s="1298"/>
      <c r="Y80" s="1298"/>
      <c r="Z80" s="1298"/>
      <c r="AA80" s="1298"/>
      <c r="AB80" s="1298"/>
      <c r="AC80" s="1298"/>
      <c r="AD80" s="1298"/>
      <c r="AE80" s="1298"/>
      <c r="AF80" s="1298"/>
      <c r="AG80" s="1298"/>
      <c r="AH80" s="1298"/>
      <c r="AI80" s="1298"/>
      <c r="AJ80" s="1298"/>
      <c r="AK80" s="1298"/>
    </row>
    <row r="81" spans="1:37">
      <c r="A81" s="4"/>
      <c r="C81" s="2"/>
      <c r="D81" s="4"/>
      <c r="E81" s="4"/>
      <c r="F81" s="4"/>
      <c r="G81" s="1298"/>
      <c r="H81" s="1298"/>
      <c r="I81" s="1298"/>
      <c r="J81" s="1298"/>
      <c r="K81" s="1298"/>
      <c r="L81" s="1298"/>
      <c r="M81" s="1298"/>
      <c r="N81" s="1298"/>
      <c r="O81" s="1298"/>
      <c r="P81" s="1298"/>
      <c r="Q81" s="1298"/>
      <c r="R81" s="1298"/>
      <c r="S81" s="1298"/>
      <c r="T81" s="1298"/>
      <c r="U81" s="1298"/>
      <c r="V81" s="1298"/>
      <c r="W81" s="1298"/>
      <c r="X81" s="1298"/>
      <c r="Y81" s="1298"/>
      <c r="Z81" s="1298"/>
      <c r="AA81" s="1298"/>
      <c r="AB81" s="1298"/>
      <c r="AC81" s="1298"/>
      <c r="AD81" s="1298"/>
      <c r="AE81" s="1298"/>
      <c r="AF81" s="1298"/>
      <c r="AG81" s="1298"/>
      <c r="AH81" s="1298"/>
      <c r="AI81" s="1298"/>
      <c r="AJ81" s="1298"/>
      <c r="AK81" s="1298"/>
    </row>
    <row r="82" spans="1:37">
      <c r="A82" s="4"/>
      <c r="C82" s="2"/>
      <c r="D82" s="4"/>
      <c r="E82" s="4"/>
      <c r="F82" s="4"/>
      <c r="G82" s="1298"/>
      <c r="H82" s="1298"/>
      <c r="I82" s="1298"/>
      <c r="J82" s="1298"/>
      <c r="K82" s="1298"/>
      <c r="L82" s="1298"/>
      <c r="M82" s="1298"/>
      <c r="N82" s="1298"/>
      <c r="O82" s="1298"/>
      <c r="P82" s="1298"/>
      <c r="Q82" s="1298"/>
      <c r="R82" s="1298"/>
      <c r="S82" s="1298"/>
      <c r="T82" s="1298"/>
      <c r="U82" s="1298"/>
      <c r="V82" s="1298"/>
      <c r="W82" s="1298"/>
      <c r="X82" s="1298"/>
      <c r="Y82" s="1298"/>
      <c r="Z82" s="1298"/>
      <c r="AA82" s="1298"/>
      <c r="AB82" s="1298"/>
      <c r="AC82" s="1298"/>
      <c r="AD82" s="1298"/>
      <c r="AE82" s="1298"/>
      <c r="AF82" s="1298"/>
      <c r="AG82" s="1298"/>
      <c r="AH82" s="1298"/>
      <c r="AI82" s="1298"/>
      <c r="AJ82" s="1298"/>
      <c r="AK82" s="1298"/>
    </row>
    <row r="83" spans="1:37">
      <c r="A83" s="4"/>
      <c r="C83" s="2"/>
      <c r="D83" s="4"/>
      <c r="E83" s="4" t="s">
        <v>169</v>
      </c>
      <c r="F83" s="4" t="s">
        <v>170</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99" t="s">
        <v>171</v>
      </c>
      <c r="H84" s="1298"/>
      <c r="I84" s="1298"/>
      <c r="J84" s="1298"/>
      <c r="K84" s="1298"/>
      <c r="L84" s="1298"/>
      <c r="M84" s="1298"/>
      <c r="N84" s="1298"/>
      <c r="O84" s="1298"/>
      <c r="P84" s="1298"/>
      <c r="Q84" s="1298"/>
      <c r="R84" s="1298"/>
      <c r="S84" s="1298"/>
      <c r="T84" s="1298"/>
      <c r="U84" s="1298"/>
      <c r="V84" s="1298"/>
      <c r="W84" s="1298"/>
      <c r="X84" s="1298"/>
      <c r="Y84" s="1298"/>
      <c r="Z84" s="1298"/>
      <c r="AA84" s="1298"/>
      <c r="AB84" s="1298"/>
      <c r="AC84" s="1298"/>
      <c r="AD84" s="1298"/>
      <c r="AE84" s="1298"/>
      <c r="AF84" s="1298"/>
      <c r="AG84" s="1298"/>
      <c r="AH84" s="1298"/>
      <c r="AI84" s="1298"/>
      <c r="AJ84" s="1298"/>
      <c r="AK84" s="1298"/>
    </row>
    <row r="85" spans="1:37">
      <c r="A85" s="4"/>
      <c r="C85" s="2"/>
      <c r="D85" s="4"/>
      <c r="E85" s="4"/>
      <c r="F85" s="4"/>
      <c r="G85" s="1298"/>
      <c r="H85" s="1298"/>
      <c r="I85" s="1298"/>
      <c r="J85" s="1298"/>
      <c r="K85" s="1298"/>
      <c r="L85" s="1298"/>
      <c r="M85" s="1298"/>
      <c r="N85" s="1298"/>
      <c r="O85" s="1298"/>
      <c r="P85" s="1298"/>
      <c r="Q85" s="1298"/>
      <c r="R85" s="1298"/>
      <c r="S85" s="1298"/>
      <c r="T85" s="1298"/>
      <c r="U85" s="1298"/>
      <c r="V85" s="1298"/>
      <c r="W85" s="1298"/>
      <c r="X85" s="1298"/>
      <c r="Y85" s="1298"/>
      <c r="Z85" s="1298"/>
      <c r="AA85" s="1298"/>
      <c r="AB85" s="1298"/>
      <c r="AC85" s="1298"/>
      <c r="AD85" s="1298"/>
      <c r="AE85" s="1298"/>
      <c r="AF85" s="1298"/>
      <c r="AG85" s="1298"/>
      <c r="AH85" s="1298"/>
      <c r="AI85" s="1298"/>
      <c r="AJ85" s="1298"/>
      <c r="AK85" s="1298"/>
    </row>
    <row r="86" spans="1:37">
      <c r="A86" s="4"/>
      <c r="C86" s="2"/>
      <c r="D86" s="4"/>
      <c r="E86" s="4"/>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row>
    <row r="87" spans="1:37">
      <c r="A87" s="4"/>
      <c r="C87" s="2"/>
      <c r="D87" s="4"/>
      <c r="E87" s="4" t="s">
        <v>172</v>
      </c>
      <c r="F87" t="s">
        <v>173</v>
      </c>
      <c r="G87" s="4"/>
      <c r="L87" s="4"/>
      <c r="M87" s="4"/>
      <c r="P87" s="4"/>
      <c r="Q87" s="4"/>
      <c r="R87" s="4"/>
      <c r="S87" s="4"/>
      <c r="T87" s="4"/>
      <c r="U87" s="4"/>
      <c r="V87" s="4"/>
      <c r="W87" s="4"/>
      <c r="X87" s="4"/>
      <c r="Y87" s="4"/>
      <c r="Z87" s="4"/>
      <c r="AA87" s="4"/>
      <c r="AB87" s="4"/>
    </row>
    <row r="88" spans="1:37">
      <c r="A88" s="4"/>
      <c r="C88" s="2"/>
      <c r="D88" s="4"/>
      <c r="E88" s="4"/>
      <c r="G88" s="1310" t="s">
        <v>174</v>
      </c>
      <c r="H88" s="1298"/>
      <c r="I88" s="1298"/>
      <c r="J88" s="1298"/>
      <c r="K88" s="1298"/>
      <c r="L88" s="1298"/>
      <c r="M88" s="1298"/>
      <c r="N88" s="1298"/>
      <c r="O88" s="1298"/>
      <c r="P88" s="1298"/>
      <c r="Q88" s="1298"/>
      <c r="R88" s="1298"/>
      <c r="S88" s="1298"/>
      <c r="T88" s="1298"/>
      <c r="U88" s="1298"/>
      <c r="V88" s="1298"/>
      <c r="W88" s="1298"/>
      <c r="X88" s="1298"/>
      <c r="Y88" s="1298"/>
      <c r="Z88" s="1298"/>
      <c r="AA88" s="1298"/>
      <c r="AB88" s="1298"/>
      <c r="AC88" s="1298"/>
      <c r="AD88" s="1298"/>
      <c r="AE88" s="1298"/>
      <c r="AF88" s="1298"/>
      <c r="AG88" s="1298"/>
      <c r="AH88" s="1298"/>
      <c r="AI88" s="1298"/>
      <c r="AJ88" s="1298"/>
      <c r="AK88" s="1298"/>
    </row>
    <row r="89" spans="1:37">
      <c r="A89" s="4"/>
      <c r="C89" s="2"/>
      <c r="D89" s="4"/>
      <c r="E89" s="4"/>
      <c r="G89" s="1298"/>
      <c r="H89" s="1298"/>
      <c r="I89" s="1298"/>
      <c r="J89" s="1298"/>
      <c r="K89" s="1298"/>
      <c r="L89" s="1298"/>
      <c r="M89" s="1298"/>
      <c r="N89" s="1298"/>
      <c r="O89" s="1298"/>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row>
    <row r="90" spans="1:37">
      <c r="A90" s="4"/>
      <c r="C90" s="2"/>
      <c r="D90" s="4"/>
      <c r="E90" s="4"/>
      <c r="G90" s="1298"/>
      <c r="H90" s="1298"/>
      <c r="I90" s="1298"/>
      <c r="J90" s="1298"/>
      <c r="K90" s="1298"/>
      <c r="L90" s="1298"/>
      <c r="M90" s="1298"/>
      <c r="N90" s="1298"/>
      <c r="O90" s="1298"/>
      <c r="P90" s="1298"/>
      <c r="Q90" s="1298"/>
      <c r="R90" s="1298"/>
      <c r="S90" s="1298"/>
      <c r="T90" s="1298"/>
      <c r="U90" s="1298"/>
      <c r="V90" s="1298"/>
      <c r="W90" s="1298"/>
      <c r="X90" s="1298"/>
      <c r="Y90" s="1298"/>
      <c r="Z90" s="1298"/>
      <c r="AA90" s="1298"/>
      <c r="AB90" s="1298"/>
      <c r="AC90" s="1298"/>
      <c r="AD90" s="1298"/>
      <c r="AE90" s="1298"/>
      <c r="AF90" s="1298"/>
      <c r="AG90" s="1298"/>
      <c r="AH90" s="1298"/>
      <c r="AI90" s="1298"/>
      <c r="AJ90" s="1298"/>
      <c r="AK90" s="1298"/>
    </row>
    <row r="91" spans="1:37">
      <c r="A91" s="4"/>
      <c r="C91" s="2"/>
      <c r="D91" s="4"/>
      <c r="E91" s="4" t="s">
        <v>175</v>
      </c>
      <c r="F91" s="4" t="s">
        <v>176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99" t="s">
        <v>177</v>
      </c>
      <c r="H92" s="1298"/>
      <c r="I92" s="1298"/>
      <c r="J92" s="1298"/>
      <c r="K92" s="1298"/>
      <c r="L92" s="1298"/>
      <c r="M92" s="1298"/>
      <c r="N92" s="1298"/>
      <c r="O92" s="1298"/>
      <c r="P92" s="1298"/>
      <c r="Q92" s="1298"/>
      <c r="R92" s="1298"/>
      <c r="S92" s="1298"/>
      <c r="T92" s="1298"/>
      <c r="U92" s="1298"/>
      <c r="V92" s="1298"/>
      <c r="W92" s="1298"/>
      <c r="X92" s="1298"/>
      <c r="Y92" s="1298"/>
      <c r="Z92" s="1298"/>
      <c r="AA92" s="1298"/>
      <c r="AB92" s="1298"/>
      <c r="AC92" s="1298"/>
      <c r="AD92" s="1298"/>
      <c r="AE92" s="1298"/>
      <c r="AF92" s="1298"/>
      <c r="AG92" s="1298"/>
      <c r="AH92" s="1298"/>
      <c r="AI92" s="1298"/>
      <c r="AJ92" s="1298"/>
      <c r="AK92" s="1298"/>
    </row>
    <row r="93" spans="1:37">
      <c r="A93" s="4"/>
      <c r="C93" s="2"/>
      <c r="D93" s="4"/>
      <c r="E93" s="4"/>
      <c r="G93" s="1298"/>
      <c r="H93" s="1298"/>
      <c r="I93" s="1298"/>
      <c r="J93" s="1298"/>
      <c r="K93" s="1298"/>
      <c r="L93" s="1298"/>
      <c r="M93" s="1298"/>
      <c r="N93" s="1298"/>
      <c r="O93" s="1298"/>
      <c r="P93" s="1298"/>
      <c r="Q93" s="1298"/>
      <c r="R93" s="1298"/>
      <c r="S93" s="1298"/>
      <c r="T93" s="1298"/>
      <c r="U93" s="1298"/>
      <c r="V93" s="1298"/>
      <c r="W93" s="1298"/>
      <c r="X93" s="1298"/>
      <c r="Y93" s="1298"/>
      <c r="Z93" s="1298"/>
      <c r="AA93" s="1298"/>
      <c r="AB93" s="1298"/>
      <c r="AC93" s="1298"/>
      <c r="AD93" s="1298"/>
      <c r="AE93" s="1298"/>
      <c r="AF93" s="1298"/>
      <c r="AG93" s="1298"/>
      <c r="AH93" s="1298"/>
      <c r="AI93" s="1298"/>
      <c r="AJ93" s="1298"/>
      <c r="AK93" s="1298"/>
    </row>
    <row r="94" spans="1:37">
      <c r="A94" s="4"/>
      <c r="C94" s="2"/>
      <c r="D94" s="4"/>
      <c r="E94" s="4" t="s">
        <v>178</v>
      </c>
      <c r="F94" s="204" t="s">
        <v>179</v>
      </c>
      <c r="G94" s="204"/>
      <c r="L94" s="4"/>
      <c r="M94" s="4"/>
      <c r="P94" s="4"/>
      <c r="Q94" s="4"/>
      <c r="R94" s="4"/>
      <c r="S94" s="4"/>
      <c r="T94" s="4"/>
      <c r="U94" s="4"/>
      <c r="V94" s="4"/>
      <c r="W94" s="4"/>
      <c r="X94" s="4"/>
      <c r="Y94" s="4"/>
      <c r="Z94" s="4"/>
      <c r="AA94" s="4"/>
      <c r="AB94" s="4"/>
    </row>
    <row r="95" spans="1:37">
      <c r="A95" s="4"/>
      <c r="C95" s="2"/>
      <c r="D95" s="4"/>
      <c r="E95" s="4"/>
      <c r="G95" s="1299" t="s">
        <v>180</v>
      </c>
      <c r="H95" s="1298"/>
      <c r="I95" s="1298"/>
      <c r="J95" s="1298"/>
      <c r="K95" s="1298"/>
      <c r="L95" s="1298"/>
      <c r="M95" s="1298"/>
      <c r="N95" s="1298"/>
      <c r="O95" s="1298"/>
      <c r="P95" s="1298"/>
      <c r="Q95" s="1298"/>
      <c r="R95" s="1298"/>
      <c r="S95" s="1298"/>
      <c r="T95" s="1298"/>
      <c r="U95" s="1298"/>
      <c r="V95" s="1298"/>
      <c r="W95" s="1298"/>
      <c r="X95" s="1298"/>
      <c r="Y95" s="1298"/>
      <c r="Z95" s="1298"/>
      <c r="AA95" s="1298"/>
      <c r="AB95" s="1298"/>
      <c r="AC95" s="1298"/>
      <c r="AD95" s="1298"/>
      <c r="AE95" s="1298"/>
      <c r="AF95" s="1298"/>
      <c r="AG95" s="1298"/>
      <c r="AH95" s="1298"/>
      <c r="AI95" s="1298"/>
      <c r="AJ95" s="1298"/>
      <c r="AK95" s="1298"/>
    </row>
    <row r="96" spans="1:37">
      <c r="A96" s="4"/>
      <c r="C96" s="2"/>
      <c r="D96" s="4"/>
      <c r="E96" s="4"/>
      <c r="G96" s="1298"/>
      <c r="H96" s="1298"/>
      <c r="I96" s="1298"/>
      <c r="J96" s="1298"/>
      <c r="K96" s="1298"/>
      <c r="L96" s="1298"/>
      <c r="M96" s="1298"/>
      <c r="N96" s="1298"/>
      <c r="O96" s="1298"/>
      <c r="P96" s="1298"/>
      <c r="Q96" s="1298"/>
      <c r="R96" s="1298"/>
      <c r="S96" s="1298"/>
      <c r="T96" s="1298"/>
      <c r="U96" s="1298"/>
      <c r="V96" s="1298"/>
      <c r="W96" s="1298"/>
      <c r="X96" s="1298"/>
      <c r="Y96" s="1298"/>
      <c r="Z96" s="1298"/>
      <c r="AA96" s="1298"/>
      <c r="AB96" s="1298"/>
      <c r="AC96" s="1298"/>
      <c r="AD96" s="1298"/>
      <c r="AE96" s="1298"/>
      <c r="AF96" s="1298"/>
      <c r="AG96" s="1298"/>
      <c r="AH96" s="1298"/>
      <c r="AI96" s="1298"/>
      <c r="AJ96" s="1298"/>
      <c r="AK96" s="1298"/>
    </row>
    <row r="97" spans="1:38">
      <c r="A97" s="4"/>
      <c r="C97" s="2"/>
      <c r="D97" s="4"/>
      <c r="E97" s="4"/>
      <c r="G97" s="1298"/>
      <c r="H97" s="1298"/>
      <c r="I97" s="1298"/>
      <c r="J97" s="1298"/>
      <c r="K97" s="1298"/>
      <c r="L97" s="1298"/>
      <c r="M97" s="1298"/>
      <c r="N97" s="1298"/>
      <c r="O97" s="1298"/>
      <c r="P97" s="1298"/>
      <c r="Q97" s="1298"/>
      <c r="R97" s="1298"/>
      <c r="S97" s="1298"/>
      <c r="T97" s="1298"/>
      <c r="U97" s="1298"/>
      <c r="V97" s="1298"/>
      <c r="W97" s="1298"/>
      <c r="X97" s="1298"/>
      <c r="Y97" s="1298"/>
      <c r="Z97" s="1298"/>
      <c r="AA97" s="1298"/>
      <c r="AB97" s="1298"/>
      <c r="AC97" s="1298"/>
      <c r="AD97" s="1298"/>
      <c r="AE97" s="1298"/>
      <c r="AF97" s="1298"/>
      <c r="AG97" s="1298"/>
      <c r="AH97" s="1298"/>
      <c r="AI97" s="1298"/>
      <c r="AJ97" s="1298"/>
      <c r="AK97" s="1298"/>
    </row>
    <row r="98" spans="1:38">
      <c r="A98" s="4"/>
      <c r="D98" s="99"/>
      <c r="E98" s="1303" t="s">
        <v>181</v>
      </c>
      <c r="F98" s="1298"/>
      <c r="G98" s="1298"/>
      <c r="H98" s="1298"/>
      <c r="I98" s="1298"/>
      <c r="J98" s="1298"/>
      <c r="K98" s="1298"/>
      <c r="L98" s="1298"/>
      <c r="M98" s="1298"/>
      <c r="N98" s="1298"/>
      <c r="O98" s="1298"/>
      <c r="P98" s="1298"/>
      <c r="Q98" s="1298"/>
      <c r="R98" s="1298"/>
      <c r="S98" s="1298"/>
      <c r="T98" s="1298"/>
      <c r="U98" s="1298"/>
      <c r="V98" s="1298"/>
      <c r="W98" s="1298"/>
      <c r="X98" s="1298"/>
      <c r="Y98" s="1298"/>
      <c r="Z98" s="1298"/>
      <c r="AA98" s="1298"/>
      <c r="AB98" s="1298"/>
      <c r="AC98" s="1298"/>
      <c r="AD98" s="1298"/>
      <c r="AE98" s="1298"/>
      <c r="AF98" s="1298"/>
      <c r="AG98" s="1298"/>
      <c r="AH98" s="1298"/>
      <c r="AI98" s="1298"/>
      <c r="AJ98" s="1298"/>
      <c r="AK98" s="1298"/>
    </row>
    <row r="99" spans="1:38">
      <c r="A99" s="4"/>
      <c r="D99" s="99"/>
      <c r="E99" s="1298"/>
      <c r="F99" s="1298"/>
      <c r="G99" s="1298"/>
      <c r="H99" s="1298"/>
      <c r="I99" s="1298"/>
      <c r="J99" s="1298"/>
      <c r="K99" s="1298"/>
      <c r="L99" s="1298"/>
      <c r="M99" s="1298"/>
      <c r="N99" s="1298"/>
      <c r="O99" s="1298"/>
      <c r="P99" s="1298"/>
      <c r="Q99" s="1298"/>
      <c r="R99" s="1298"/>
      <c r="S99" s="1298"/>
      <c r="T99" s="1298"/>
      <c r="U99" s="1298"/>
      <c r="V99" s="1298"/>
      <c r="W99" s="1298"/>
      <c r="X99" s="1298"/>
      <c r="Y99" s="1298"/>
      <c r="Z99" s="1298"/>
      <c r="AA99" s="1298"/>
      <c r="AB99" s="1298"/>
      <c r="AC99" s="1298"/>
      <c r="AD99" s="1298"/>
      <c r="AE99" s="1298"/>
      <c r="AF99" s="1298"/>
      <c r="AG99" s="1298"/>
      <c r="AH99" s="1298"/>
      <c r="AI99" s="1298"/>
      <c r="AJ99" s="1298"/>
      <c r="AK99" s="129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182</v>
      </c>
      <c r="C101" s="11" t="s">
        <v>156</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183</v>
      </c>
      <c r="E103" s="2"/>
      <c r="F103" s="2"/>
      <c r="G103" s="2" t="s">
        <v>184</v>
      </c>
      <c r="H103" s="2"/>
      <c r="I103" s="2"/>
      <c r="K103" s="2"/>
    </row>
    <row r="104" spans="1:38">
      <c r="B104" s="2"/>
      <c r="C104" s="2"/>
      <c r="D104" s="2" t="s">
        <v>115</v>
      </c>
      <c r="E104" s="2" t="s">
        <v>185</v>
      </c>
      <c r="F104" s="2"/>
      <c r="G104" s="2"/>
      <c r="H104" s="2"/>
      <c r="I104" s="2"/>
      <c r="J104" s="2"/>
      <c r="K104" s="2"/>
      <c r="L104" s="2"/>
      <c r="M104" s="2"/>
    </row>
    <row r="105" spans="1:38">
      <c r="B105" s="2"/>
      <c r="C105" s="2"/>
      <c r="E105" s="4" t="s">
        <v>130</v>
      </c>
      <c r="F105" s="98" t="s">
        <v>186</v>
      </c>
      <c r="G105" s="2"/>
      <c r="H105" s="2"/>
      <c r="I105" s="2"/>
      <c r="J105" s="2"/>
      <c r="K105" s="2"/>
    </row>
    <row r="106" spans="1:38">
      <c r="E106" s="4"/>
      <c r="F106" t="s">
        <v>187</v>
      </c>
    </row>
    <row r="107" spans="1:38">
      <c r="E107" s="4"/>
      <c r="F107" t="s">
        <v>188</v>
      </c>
    </row>
    <row r="108" spans="1:38">
      <c r="E108" s="4"/>
    </row>
    <row r="109" spans="1:38">
      <c r="E109" s="4" t="s">
        <v>143</v>
      </c>
      <c r="F109" s="98" t="s">
        <v>189</v>
      </c>
      <c r="G109" s="2"/>
      <c r="H109" s="2"/>
      <c r="I109" s="2"/>
      <c r="J109" s="2"/>
    </row>
    <row r="110" spans="1:38">
      <c r="E110" s="4"/>
      <c r="F110" t="s">
        <v>190</v>
      </c>
    </row>
    <row r="111" spans="1:38">
      <c r="E111" s="4"/>
    </row>
    <row r="112" spans="1:38">
      <c r="E112" s="4" t="s">
        <v>151</v>
      </c>
      <c r="F112" s="98" t="s">
        <v>191</v>
      </c>
      <c r="G112" s="2"/>
      <c r="H112" s="2"/>
      <c r="I112" s="2"/>
      <c r="J112" s="2"/>
      <c r="K112" s="2"/>
      <c r="L112" s="2"/>
      <c r="M112" s="2"/>
      <c r="N112" s="2"/>
      <c r="O112" s="2"/>
      <c r="P112" s="2"/>
    </row>
    <row r="113" spans="2:10">
      <c r="E113" s="4"/>
      <c r="F113" s="4" t="s">
        <v>192</v>
      </c>
    </row>
    <row r="114" spans="2:10" ht="12.75" customHeight="1">
      <c r="F114" s="4" t="s">
        <v>193</v>
      </c>
    </row>
    <row r="115" spans="2:10"/>
    <row r="116" spans="2:10">
      <c r="E116" t="s">
        <v>194</v>
      </c>
      <c r="F116" s="98" t="s">
        <v>195</v>
      </c>
    </row>
    <row r="117" spans="2:10">
      <c r="F117" s="4" t="s">
        <v>196</v>
      </c>
      <c r="G117" s="4"/>
    </row>
    <row r="118" spans="2:10">
      <c r="F118" s="99" t="s">
        <v>197</v>
      </c>
      <c r="G118" s="99"/>
    </row>
    <row r="119" spans="2:10">
      <c r="G119" s="99"/>
    </row>
    <row r="120" spans="2:10">
      <c r="E120" s="4" t="s">
        <v>198</v>
      </c>
      <c r="F120" s="98" t="s">
        <v>199</v>
      </c>
    </row>
    <row r="121" spans="2:10">
      <c r="E121" s="4"/>
      <c r="F121" s="4" t="s">
        <v>200</v>
      </c>
    </row>
    <row r="122" spans="2:10">
      <c r="B122" s="2"/>
      <c r="C122" s="2"/>
      <c r="F122" s="2"/>
    </row>
    <row r="123" spans="2:10">
      <c r="B123" s="2"/>
      <c r="C123" s="2" t="s">
        <v>201</v>
      </c>
      <c r="G123" s="2" t="s">
        <v>202</v>
      </c>
    </row>
    <row r="124" spans="2:10">
      <c r="B124" s="2"/>
      <c r="C124" s="2"/>
      <c r="D124" s="2" t="s">
        <v>115</v>
      </c>
      <c r="E124" s="2" t="s">
        <v>203</v>
      </c>
      <c r="F124" s="2"/>
      <c r="G124" s="2"/>
      <c r="H124" s="2"/>
      <c r="I124" s="2"/>
      <c r="J124" s="2"/>
    </row>
    <row r="125" spans="2:10">
      <c r="B125" s="2"/>
      <c r="C125" s="2"/>
      <c r="E125" s="4" t="s">
        <v>204</v>
      </c>
      <c r="F125" s="4"/>
    </row>
    <row r="126" spans="2:10"/>
    <row r="127" spans="2:10">
      <c r="D127" s="2" t="s">
        <v>128</v>
      </c>
      <c r="E127" s="2" t="s">
        <v>205</v>
      </c>
    </row>
    <row r="128" spans="2:10">
      <c r="E128" s="4" t="s">
        <v>204</v>
      </c>
      <c r="F128" s="4"/>
    </row>
    <row r="129" spans="4:37"/>
    <row r="130" spans="4:37">
      <c r="D130" s="2" t="s">
        <v>206</v>
      </c>
      <c r="E130" s="2" t="s">
        <v>207</v>
      </c>
      <c r="G130" s="2"/>
      <c r="H130" s="2"/>
      <c r="I130" s="2"/>
      <c r="J130" s="2"/>
      <c r="K130" s="2"/>
      <c r="L130" s="2"/>
      <c r="M130" s="2"/>
      <c r="N130" s="2"/>
    </row>
    <row r="131" spans="4:37">
      <c r="D131" s="2"/>
      <c r="E131" s="119" t="s">
        <v>208</v>
      </c>
      <c r="G131" s="2"/>
      <c r="H131" s="2"/>
      <c r="I131" s="2"/>
      <c r="J131" s="2"/>
      <c r="K131" s="2"/>
      <c r="L131" s="2"/>
      <c r="M131" s="2"/>
      <c r="N131" s="2"/>
    </row>
    <row r="132" spans="4:37" ht="12.75" customHeight="1">
      <c r="E132" s="119" t="s">
        <v>209</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210</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211</v>
      </c>
      <c r="E135" s="2" t="s">
        <v>212</v>
      </c>
      <c r="F135" s="2"/>
    </row>
    <row r="136" spans="4:37">
      <c r="E136" s="3" t="s">
        <v>213</v>
      </c>
      <c r="F136" s="4"/>
    </row>
    <row r="137" spans="4:37">
      <c r="F137" s="4"/>
    </row>
    <row r="138" spans="4:37">
      <c r="D138" s="2" t="s">
        <v>214</v>
      </c>
      <c r="E138" s="2" t="s">
        <v>215</v>
      </c>
      <c r="F138" s="2"/>
      <c r="G138" s="2"/>
      <c r="H138" s="2"/>
    </row>
    <row r="139" spans="4:37">
      <c r="E139" t="s">
        <v>130</v>
      </c>
      <c r="F139" t="s">
        <v>216</v>
      </c>
    </row>
    <row r="140" spans="4:37">
      <c r="E140" t="s">
        <v>143</v>
      </c>
      <c r="F140" t="s">
        <v>217</v>
      </c>
    </row>
    <row r="141" spans="4:37"/>
    <row r="142" spans="4:37">
      <c r="D142" s="2" t="s">
        <v>218</v>
      </c>
      <c r="E142" s="2" t="s">
        <v>219</v>
      </c>
    </row>
    <row r="143" spans="4:37">
      <c r="E143" s="204" t="s">
        <v>220</v>
      </c>
      <c r="F143" s="204"/>
    </row>
    <row r="144" spans="4:37"/>
    <row r="145" spans="3:7">
      <c r="C145" s="2" t="s">
        <v>221</v>
      </c>
      <c r="G145" s="2" t="s">
        <v>222</v>
      </c>
    </row>
    <row r="146" spans="3:7">
      <c r="D146" s="2" t="s">
        <v>115</v>
      </c>
      <c r="E146" s="2" t="s">
        <v>223</v>
      </c>
    </row>
    <row r="147" spans="3:7">
      <c r="E147" t="s">
        <v>224</v>
      </c>
    </row>
    <row r="148" spans="3:7"/>
    <row r="149" spans="3:7">
      <c r="D149" s="2" t="s">
        <v>128</v>
      </c>
      <c r="E149" s="2" t="s">
        <v>225</v>
      </c>
      <c r="F149" s="2"/>
    </row>
    <row r="150" spans="3:7">
      <c r="E150" s="4" t="s">
        <v>226</v>
      </c>
      <c r="F150" s="4"/>
    </row>
    <row r="151" spans="3:7"/>
    <row r="152" spans="3:7">
      <c r="D152" s="2" t="s">
        <v>206</v>
      </c>
      <c r="E152" s="2" t="s">
        <v>227</v>
      </c>
    </row>
    <row r="153" spans="3:7">
      <c r="E153" s="4" t="s">
        <v>228</v>
      </c>
    </row>
    <row r="154" spans="3:7">
      <c r="E154" s="4" t="s">
        <v>229</v>
      </c>
      <c r="G154" s="4"/>
    </row>
    <row r="155" spans="3:7"/>
    <row r="156" spans="3:7">
      <c r="D156" s="2" t="s">
        <v>211</v>
      </c>
      <c r="E156" s="2" t="s">
        <v>230</v>
      </c>
    </row>
    <row r="157" spans="3:7">
      <c r="E157" t="s">
        <v>130</v>
      </c>
      <c r="F157" s="4" t="s">
        <v>231</v>
      </c>
    </row>
    <row r="158" spans="3:7">
      <c r="E158" s="4" t="s">
        <v>143</v>
      </c>
      <c r="F158" s="4" t="s">
        <v>232</v>
      </c>
    </row>
    <row r="159" spans="3:7">
      <c r="E159" s="4" t="s">
        <v>151</v>
      </c>
      <c r="F159" t="s">
        <v>233</v>
      </c>
    </row>
    <row r="160" spans="3:7"/>
    <row r="161" spans="3:20">
      <c r="D161" s="2" t="s">
        <v>214</v>
      </c>
      <c r="E161" s="2" t="s">
        <v>234</v>
      </c>
    </row>
    <row r="162" spans="3:20">
      <c r="E162" s="4" t="s">
        <v>235</v>
      </c>
      <c r="F162" s="4"/>
    </row>
    <row r="163" spans="3:20"/>
    <row r="164" spans="3:20">
      <c r="D164" s="2" t="s">
        <v>218</v>
      </c>
      <c r="E164" s="2" t="s">
        <v>236</v>
      </c>
    </row>
    <row r="165" spans="3:20">
      <c r="E165" s="4" t="s">
        <v>237</v>
      </c>
    </row>
    <row r="166" spans="3:20">
      <c r="E166" s="4" t="s">
        <v>238</v>
      </c>
    </row>
    <row r="167" spans="3:20"/>
    <row r="168" spans="3:20">
      <c r="D168" s="2" t="s">
        <v>239</v>
      </c>
      <c r="E168" s="2" t="s">
        <v>240</v>
      </c>
    </row>
    <row r="169" spans="3:20">
      <c r="E169" t="s">
        <v>130</v>
      </c>
      <c r="F169" t="s">
        <v>241</v>
      </c>
    </row>
    <row r="170" spans="3:20">
      <c r="E170" t="s">
        <v>143</v>
      </c>
      <c r="F170" t="s">
        <v>242</v>
      </c>
    </row>
    <row r="171" spans="3:20">
      <c r="F171" s="4"/>
    </row>
    <row r="172" spans="3:20">
      <c r="C172" s="2" t="s">
        <v>243</v>
      </c>
      <c r="E172" s="4"/>
      <c r="G172" s="2" t="s">
        <v>244</v>
      </c>
    </row>
    <row r="173" spans="3:20">
      <c r="E173" s="4" t="s">
        <v>245</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246</v>
      </c>
      <c r="D175" s="2"/>
      <c r="F175" s="4"/>
      <c r="G175" s="2" t="s">
        <v>205</v>
      </c>
    </row>
    <row r="176" spans="3:20">
      <c r="D176" s="2" t="s">
        <v>115</v>
      </c>
      <c r="E176" s="2" t="s">
        <v>247</v>
      </c>
      <c r="G176" s="4"/>
      <c r="H176" s="4"/>
      <c r="I176" s="4"/>
      <c r="J176" s="4"/>
      <c r="K176" s="4"/>
      <c r="L176" s="4"/>
      <c r="M176" s="4"/>
      <c r="N176" s="4"/>
    </row>
    <row r="177" spans="2:19">
      <c r="E177" t="s">
        <v>130</v>
      </c>
      <c r="F177" s="4" t="s">
        <v>248</v>
      </c>
    </row>
    <row r="178" spans="2:19">
      <c r="F178" s="120" t="s">
        <v>249</v>
      </c>
      <c r="I178" s="120"/>
    </row>
    <row r="179" spans="2:19">
      <c r="I179" s="120"/>
    </row>
    <row r="180" spans="2:19">
      <c r="B180" s="4"/>
      <c r="C180" s="4"/>
      <c r="E180" t="s">
        <v>143</v>
      </c>
      <c r="F180" s="3" t="s">
        <v>250</v>
      </c>
      <c r="H180" s="4"/>
    </row>
    <row r="181" spans="2:19">
      <c r="B181" s="4"/>
      <c r="C181" s="4"/>
      <c r="F181" t="s">
        <v>132</v>
      </c>
      <c r="G181" t="s">
        <v>251</v>
      </c>
      <c r="H181" s="4"/>
      <c r="O181" s="4"/>
      <c r="P181" s="4"/>
      <c r="Q181" s="4"/>
      <c r="R181" s="4"/>
      <c r="S181" s="4"/>
    </row>
    <row r="182" spans="2:19">
      <c r="B182" s="4"/>
      <c r="C182" s="4"/>
      <c r="H182" s="4"/>
      <c r="O182" s="4"/>
      <c r="P182" s="4"/>
      <c r="Q182" s="4"/>
      <c r="R182" s="4"/>
      <c r="S182" s="4"/>
    </row>
    <row r="183" spans="2:19">
      <c r="D183" s="2" t="s">
        <v>128</v>
      </c>
      <c r="E183" s="2" t="s">
        <v>252</v>
      </c>
    </row>
    <row r="184" spans="2:19">
      <c r="B184" s="4"/>
      <c r="C184" s="4"/>
      <c r="E184" s="4" t="s">
        <v>253</v>
      </c>
      <c r="F184" s="4"/>
      <c r="I184" s="4"/>
    </row>
    <row r="185" spans="2:19">
      <c r="B185" s="4"/>
      <c r="C185" s="4"/>
      <c r="E185" s="4" t="s">
        <v>254</v>
      </c>
      <c r="F185" s="120"/>
      <c r="G185" s="4"/>
      <c r="I185" s="120"/>
    </row>
    <row r="186" spans="2:19">
      <c r="B186" s="4"/>
      <c r="C186" s="4"/>
      <c r="F186" s="120"/>
      <c r="G186" s="4"/>
      <c r="I186" s="120"/>
    </row>
    <row r="187" spans="2:19">
      <c r="B187" s="4"/>
      <c r="C187" s="4"/>
      <c r="D187" s="2" t="s">
        <v>206</v>
      </c>
      <c r="E187" s="2" t="s">
        <v>255</v>
      </c>
      <c r="F187" s="120"/>
      <c r="G187" s="4"/>
      <c r="I187" s="120"/>
    </row>
    <row r="188" spans="2:19">
      <c r="B188" s="4"/>
      <c r="C188" s="4"/>
      <c r="D188" s="2"/>
      <c r="E188" s="4" t="s">
        <v>256</v>
      </c>
      <c r="F188" s="4"/>
      <c r="G188" s="4"/>
      <c r="I188" s="120"/>
    </row>
    <row r="189" spans="2:19">
      <c r="B189" s="4"/>
      <c r="C189" s="4"/>
      <c r="F189" s="120"/>
      <c r="G189" s="4"/>
      <c r="I189" s="120"/>
    </row>
    <row r="190" spans="2:19">
      <c r="D190" s="2" t="s">
        <v>211</v>
      </c>
      <c r="E190" s="2" t="s">
        <v>257</v>
      </c>
    </row>
    <row r="191" spans="2:19">
      <c r="B191" s="4"/>
      <c r="C191" s="2"/>
      <c r="E191" t="s">
        <v>130</v>
      </c>
      <c r="F191" s="4" t="s">
        <v>258</v>
      </c>
      <c r="G191" s="4"/>
      <c r="H191" s="4"/>
      <c r="I191" s="4"/>
    </row>
    <row r="192" spans="2:19">
      <c r="B192" s="4"/>
      <c r="C192" s="2"/>
      <c r="F192" s="4" t="s">
        <v>132</v>
      </c>
      <c r="G192" s="3" t="s">
        <v>259</v>
      </c>
    </row>
    <row r="193" spans="2:37">
      <c r="B193" s="4"/>
      <c r="C193" s="4"/>
      <c r="F193" s="4" t="s">
        <v>136</v>
      </c>
      <c r="G193" s="3" t="s">
        <v>260</v>
      </c>
      <c r="I193" s="4"/>
      <c r="J193" s="4"/>
      <c r="M193" s="4"/>
      <c r="N193" s="4"/>
      <c r="O193" s="4"/>
      <c r="P193" s="4"/>
      <c r="Q193" s="4"/>
      <c r="R193" s="4"/>
      <c r="S193" s="4"/>
    </row>
    <row r="194" spans="2:37">
      <c r="B194" s="4"/>
      <c r="C194" s="4"/>
      <c r="F194" s="4" t="s">
        <v>141</v>
      </c>
      <c r="G194" s="4" t="s">
        <v>261</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214</v>
      </c>
      <c r="E196" s="2" t="s">
        <v>262</v>
      </c>
      <c r="G196" s="4"/>
      <c r="H196" s="4"/>
      <c r="I196" s="4"/>
      <c r="J196" s="4"/>
      <c r="M196" s="4"/>
      <c r="N196" s="4"/>
      <c r="O196" s="4"/>
      <c r="P196" s="4"/>
      <c r="Q196" s="4"/>
      <c r="R196" s="4"/>
      <c r="S196" s="4"/>
    </row>
    <row r="197" spans="2:37">
      <c r="B197" s="4"/>
      <c r="C197" s="4"/>
      <c r="D197" s="4"/>
      <c r="E197" s="4" t="s">
        <v>263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218</v>
      </c>
      <c r="E199" s="2" t="s">
        <v>264</v>
      </c>
      <c r="G199" s="4"/>
      <c r="H199" s="4"/>
      <c r="I199" s="4"/>
      <c r="J199" s="4"/>
      <c r="M199" s="4"/>
      <c r="N199" s="4"/>
      <c r="O199" s="4"/>
      <c r="P199" s="4"/>
      <c r="Q199" s="4"/>
      <c r="R199" s="4"/>
      <c r="S199" s="4"/>
    </row>
    <row r="200" spans="2:37">
      <c r="B200" s="4"/>
      <c r="C200" s="4"/>
      <c r="D200" s="2"/>
      <c r="E200" s="4" t="s">
        <v>130</v>
      </c>
      <c r="F200" s="4" t="s">
        <v>265</v>
      </c>
      <c r="M200" s="4"/>
      <c r="N200" s="4"/>
      <c r="O200" s="4"/>
      <c r="P200" s="4"/>
      <c r="Q200" s="4"/>
      <c r="R200" s="4"/>
      <c r="S200" s="4"/>
    </row>
    <row r="201" spans="2:37">
      <c r="B201" s="4"/>
      <c r="C201" s="4"/>
      <c r="D201" s="2"/>
      <c r="E201" s="4" t="s">
        <v>143</v>
      </c>
      <c r="F201" s="4" t="s">
        <v>266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151</v>
      </c>
      <c r="F202" s="4" t="s">
        <v>267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132</v>
      </c>
      <c r="G203" s="4" t="s">
        <v>268</v>
      </c>
      <c r="I203" s="4"/>
      <c r="J203" s="4"/>
      <c r="M203" s="4"/>
      <c r="N203" s="4"/>
      <c r="O203" s="4"/>
      <c r="P203" s="4"/>
      <c r="Q203" s="4"/>
      <c r="R203" s="4"/>
      <c r="S203" s="4"/>
      <c r="T203" s="4"/>
      <c r="U203" s="4"/>
      <c r="V203" s="4"/>
      <c r="W203" s="4"/>
      <c r="X203" s="4"/>
      <c r="Y203" s="4"/>
    </row>
    <row r="204" spans="2:37">
      <c r="B204" s="4"/>
      <c r="C204" s="4"/>
      <c r="D204" s="2"/>
      <c r="E204" s="4" t="s">
        <v>194</v>
      </c>
      <c r="F204" s="4" t="s">
        <v>269</v>
      </c>
      <c r="M204" s="4"/>
      <c r="N204" s="4"/>
      <c r="O204" s="4"/>
      <c r="P204" s="4"/>
      <c r="Q204" s="4"/>
      <c r="R204" s="4"/>
      <c r="S204" s="4"/>
    </row>
    <row r="205" spans="2:37">
      <c r="B205" s="4"/>
      <c r="C205" s="4"/>
      <c r="D205" s="2"/>
      <c r="F205" t="s">
        <v>132</v>
      </c>
      <c r="G205" s="1299" t="s">
        <v>270</v>
      </c>
      <c r="H205" s="1298"/>
      <c r="I205" s="1298"/>
      <c r="J205" s="1298"/>
      <c r="K205" s="1298"/>
      <c r="L205" s="1298"/>
      <c r="M205" s="1298"/>
      <c r="N205" s="1298"/>
      <c r="O205" s="1298"/>
      <c r="P205" s="1298"/>
      <c r="Q205" s="1298"/>
      <c r="R205" s="1298"/>
      <c r="S205" s="1298"/>
      <c r="T205" s="1298"/>
      <c r="U205" s="1298"/>
      <c r="V205" s="1298"/>
      <c r="W205" s="1298"/>
      <c r="X205" s="1298"/>
      <c r="Y205" s="1298"/>
      <c r="Z205" s="1298"/>
      <c r="AA205" s="1298"/>
      <c r="AB205" s="1298"/>
      <c r="AC205" s="1298"/>
      <c r="AD205" s="1298"/>
      <c r="AE205" s="1298"/>
      <c r="AF205" s="1298"/>
      <c r="AG205" s="1298"/>
      <c r="AH205" s="1298"/>
      <c r="AI205" s="1298"/>
      <c r="AJ205" s="1298"/>
      <c r="AK205" s="1298"/>
    </row>
    <row r="206" spans="2:37">
      <c r="B206" s="4"/>
      <c r="C206" s="4"/>
      <c r="D206" s="2"/>
      <c r="G206" s="1298"/>
      <c r="H206" s="1298"/>
      <c r="I206" s="1298"/>
      <c r="J206" s="1298"/>
      <c r="K206" s="1298"/>
      <c r="L206" s="1298"/>
      <c r="M206" s="1298"/>
      <c r="N206" s="1298"/>
      <c r="O206" s="1298"/>
      <c r="P206" s="1298"/>
      <c r="Q206" s="1298"/>
      <c r="R206" s="1298"/>
      <c r="S206" s="1298"/>
      <c r="T206" s="1298"/>
      <c r="U206" s="1298"/>
      <c r="V206" s="1298"/>
      <c r="W206" s="1298"/>
      <c r="X206" s="1298"/>
      <c r="Y206" s="1298"/>
      <c r="Z206" s="1298"/>
      <c r="AA206" s="1298"/>
      <c r="AB206" s="1298"/>
      <c r="AC206" s="1298"/>
      <c r="AD206" s="1298"/>
      <c r="AE206" s="1298"/>
      <c r="AF206" s="1298"/>
      <c r="AG206" s="1298"/>
      <c r="AH206" s="1298"/>
      <c r="AI206" s="1298"/>
      <c r="AJ206" s="1298"/>
      <c r="AK206" s="1298"/>
    </row>
    <row r="207" spans="2:37">
      <c r="B207" s="4"/>
      <c r="C207" s="4"/>
      <c r="D207" s="2"/>
      <c r="M207" s="4"/>
      <c r="N207" s="4"/>
      <c r="O207" s="4"/>
      <c r="P207" s="4"/>
      <c r="Q207" s="4"/>
      <c r="R207" s="4"/>
      <c r="S207" s="4"/>
    </row>
    <row r="208" spans="2:37">
      <c r="B208" s="4"/>
      <c r="C208" s="4"/>
      <c r="D208" s="2" t="s">
        <v>239</v>
      </c>
      <c r="E208" s="2" t="s">
        <v>271</v>
      </c>
      <c r="G208" s="4"/>
      <c r="H208" s="4"/>
      <c r="I208" s="4"/>
      <c r="J208" s="4"/>
      <c r="M208" s="4"/>
      <c r="N208" s="4"/>
      <c r="O208" s="4"/>
      <c r="P208" s="4"/>
      <c r="Q208" s="4"/>
      <c r="R208" s="4"/>
      <c r="S208" s="4"/>
      <c r="T208" s="4"/>
      <c r="U208" s="4"/>
      <c r="V208" s="4"/>
      <c r="W208" s="4"/>
    </row>
    <row r="209" spans="1:38">
      <c r="B209" s="4"/>
      <c r="C209" s="4"/>
      <c r="E209" s="4" t="s">
        <v>272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273</v>
      </c>
      <c r="E211" s="2" t="s">
        <v>274</v>
      </c>
      <c r="F211" s="4"/>
      <c r="G211" s="4"/>
      <c r="I211" s="4"/>
      <c r="J211" s="4"/>
      <c r="M211" s="4"/>
      <c r="N211" s="4"/>
      <c r="O211" s="4"/>
      <c r="P211" s="4"/>
      <c r="Q211" s="4"/>
      <c r="R211" s="4"/>
      <c r="S211" s="4"/>
      <c r="T211" s="4"/>
      <c r="U211" s="4"/>
      <c r="V211" s="4"/>
      <c r="W211" s="4"/>
    </row>
    <row r="212" spans="1:38">
      <c r="B212" s="4"/>
      <c r="C212" s="4"/>
      <c r="D212" s="2"/>
      <c r="E212" s="4" t="s">
        <v>256</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275</v>
      </c>
      <c r="D214" s="2"/>
      <c r="G214" s="2" t="s">
        <v>276</v>
      </c>
      <c r="M214" s="4"/>
      <c r="N214" s="4"/>
      <c r="O214" s="4"/>
      <c r="P214" s="4"/>
      <c r="Q214" s="4"/>
      <c r="R214" s="4"/>
      <c r="S214" s="4"/>
    </row>
    <row r="215" spans="1:38">
      <c r="B215" s="4"/>
      <c r="C215" s="4"/>
      <c r="E215" t="s">
        <v>130</v>
      </c>
      <c r="F215" s="4" t="s">
        <v>277</v>
      </c>
      <c r="G215" s="4"/>
      <c r="H215" s="4"/>
      <c r="I215" s="4"/>
      <c r="L215" s="4"/>
      <c r="N215" s="4"/>
      <c r="O215" s="4"/>
      <c r="P215" s="4"/>
      <c r="Q215" s="4"/>
      <c r="R215" s="4"/>
      <c r="S215" s="4"/>
    </row>
    <row r="216" spans="1:38">
      <c r="B216" s="4"/>
      <c r="C216" s="4"/>
      <c r="F216" s="4" t="s">
        <v>132</v>
      </c>
      <c r="G216" s="4" t="s">
        <v>278</v>
      </c>
      <c r="I216" s="4"/>
      <c r="M216" s="4"/>
      <c r="N216" s="4"/>
      <c r="O216" s="4"/>
      <c r="P216" s="4"/>
      <c r="Q216" s="4"/>
      <c r="R216" s="4"/>
      <c r="S216" s="4"/>
    </row>
    <row r="217" spans="1:38">
      <c r="B217" s="4"/>
      <c r="C217" s="4"/>
      <c r="E217" t="s">
        <v>143</v>
      </c>
      <c r="F217" s="4" t="s">
        <v>279</v>
      </c>
      <c r="G217" s="4"/>
      <c r="H217" s="4"/>
      <c r="I217" s="4"/>
      <c r="M217" s="4"/>
      <c r="N217" s="4"/>
      <c r="O217" s="4"/>
      <c r="P217" s="4"/>
      <c r="Q217" s="4"/>
      <c r="R217" s="4"/>
      <c r="S217" s="4"/>
    </row>
    <row r="218" spans="1:38">
      <c r="B218" s="4"/>
      <c r="C218" s="4"/>
      <c r="F218" s="4" t="s">
        <v>132</v>
      </c>
      <c r="G218" s="4" t="s">
        <v>280</v>
      </c>
      <c r="I218" s="4"/>
      <c r="M218" s="4"/>
      <c r="N218" s="4"/>
      <c r="O218" s="4"/>
      <c r="P218" s="4"/>
      <c r="Q218" s="4"/>
      <c r="R218" s="4"/>
      <c r="S218" s="4"/>
    </row>
    <row r="219" spans="1:38">
      <c r="B219" s="4"/>
      <c r="C219" s="4"/>
      <c r="F219" s="4"/>
      <c r="G219" s="4" t="s">
        <v>281</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282</v>
      </c>
      <c r="C221" s="11" t="s">
        <v>283</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183</v>
      </c>
      <c r="D223" s="4"/>
      <c r="E223" s="4"/>
      <c r="F223" s="4"/>
      <c r="G223" s="2" t="s">
        <v>284</v>
      </c>
      <c r="I223" s="4"/>
      <c r="J223" s="4"/>
      <c r="K223" s="4"/>
      <c r="M223" s="4"/>
      <c r="N223" s="4"/>
      <c r="O223" s="4"/>
      <c r="P223" s="4"/>
      <c r="Q223" s="4"/>
      <c r="R223" s="4"/>
      <c r="S223" s="4"/>
    </row>
    <row r="224" spans="1:38">
      <c r="B224" s="2"/>
      <c r="E224" s="4" t="s">
        <v>130</v>
      </c>
      <c r="F224" s="4" t="s">
        <v>285</v>
      </c>
      <c r="G224" s="4"/>
      <c r="I224" s="4"/>
      <c r="J224" s="4"/>
      <c r="K224" s="4"/>
      <c r="L224" s="4"/>
      <c r="M224" s="4"/>
      <c r="N224" s="4"/>
      <c r="O224" s="4"/>
      <c r="P224" s="4"/>
      <c r="Q224" s="4"/>
      <c r="R224" s="4"/>
      <c r="S224" s="4"/>
    </row>
    <row r="225" spans="2:19">
      <c r="B225" s="2"/>
      <c r="E225" s="4" t="s">
        <v>143</v>
      </c>
      <c r="F225" s="4" t="s">
        <v>286</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201</v>
      </c>
      <c r="D227" s="4"/>
      <c r="E227" s="4"/>
      <c r="F227" s="4"/>
      <c r="G227" s="2" t="s">
        <v>287</v>
      </c>
      <c r="I227" s="4"/>
      <c r="J227" s="4"/>
      <c r="K227" s="4"/>
      <c r="L227" s="4"/>
      <c r="M227" s="4"/>
      <c r="N227" s="4"/>
      <c r="O227" s="4"/>
      <c r="P227" s="4"/>
      <c r="Q227" s="4"/>
      <c r="R227" s="4"/>
      <c r="S227" s="4"/>
    </row>
    <row r="228" spans="2:19">
      <c r="B228" s="2"/>
      <c r="E228" s="4" t="s">
        <v>130</v>
      </c>
      <c r="F228" s="4" t="s">
        <v>288</v>
      </c>
      <c r="G228" s="4"/>
      <c r="I228" s="4"/>
      <c r="J228" s="4"/>
      <c r="K228" s="4"/>
      <c r="L228" s="4"/>
      <c r="M228" s="4"/>
      <c r="N228" s="4"/>
      <c r="O228" s="4"/>
      <c r="P228" s="4"/>
      <c r="Q228" s="4"/>
      <c r="R228" s="4"/>
      <c r="S228" s="4"/>
    </row>
    <row r="229" spans="2:19">
      <c r="B229" s="2"/>
      <c r="E229" s="4"/>
      <c r="F229" s="4" t="s">
        <v>289</v>
      </c>
      <c r="G229" s="4"/>
      <c r="H229" s="4"/>
      <c r="I229" s="4"/>
      <c r="J229" s="4"/>
      <c r="K229" s="4"/>
      <c r="L229" s="4"/>
      <c r="M229" s="4"/>
      <c r="N229" s="4"/>
      <c r="O229" s="4"/>
      <c r="P229" s="4"/>
      <c r="Q229" s="4"/>
      <c r="R229" s="4"/>
      <c r="S229" s="4"/>
    </row>
    <row r="230" spans="2:19">
      <c r="B230" s="2"/>
      <c r="D230" s="4"/>
      <c r="E230" s="4" t="s">
        <v>143</v>
      </c>
      <c r="F230" s="4" t="s">
        <v>286</v>
      </c>
      <c r="G230" s="4"/>
      <c r="I230" s="4"/>
      <c r="J230" s="4"/>
      <c r="K230" s="4"/>
      <c r="L230" s="4"/>
      <c r="M230" s="4"/>
      <c r="N230" s="4"/>
      <c r="O230" s="4"/>
      <c r="P230" s="4"/>
      <c r="Q230" s="4"/>
      <c r="R230" s="4"/>
      <c r="S230" s="4"/>
    </row>
    <row r="231" spans="2:19">
      <c r="B231" s="2"/>
      <c r="E231" s="4" t="s">
        <v>151</v>
      </c>
      <c r="F231" s="98" t="s">
        <v>290</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291</v>
      </c>
      <c r="F233" s="4"/>
      <c r="J233" s="4"/>
      <c r="K233" s="4"/>
      <c r="M233" s="4"/>
      <c r="N233" s="4"/>
      <c r="O233" s="4"/>
      <c r="P233" s="4"/>
      <c r="Q233" s="4"/>
      <c r="R233" s="4"/>
      <c r="S233" s="4"/>
    </row>
    <row r="234" spans="2:19">
      <c r="B234" s="4"/>
      <c r="C234" s="4"/>
      <c r="E234" t="s">
        <v>130</v>
      </c>
      <c r="F234" s="4" t="s">
        <v>291</v>
      </c>
      <c r="G234" s="2"/>
      <c r="H234" s="2"/>
      <c r="I234" s="2"/>
      <c r="L234" s="2"/>
      <c r="M234" s="2"/>
      <c r="N234" s="2"/>
      <c r="O234" s="2"/>
      <c r="P234" s="2"/>
      <c r="Q234" s="2"/>
      <c r="R234" s="4"/>
      <c r="S234" s="4"/>
    </row>
    <row r="235" spans="2:19">
      <c r="B235" s="4"/>
      <c r="C235" s="4"/>
      <c r="F235" s="4" t="s">
        <v>132</v>
      </c>
      <c r="G235" s="4" t="s">
        <v>292</v>
      </c>
      <c r="I235" s="4"/>
      <c r="M235" s="4"/>
      <c r="N235" s="4"/>
      <c r="O235" s="4"/>
      <c r="P235" s="4"/>
      <c r="Q235" s="4"/>
      <c r="R235" s="4"/>
      <c r="S235" s="4"/>
    </row>
    <row r="236" spans="2:19">
      <c r="B236" s="4"/>
      <c r="C236" s="4"/>
      <c r="F236" s="4"/>
      <c r="G236" s="4" t="s">
        <v>293</v>
      </c>
      <c r="I236" s="4"/>
      <c r="M236" s="4"/>
      <c r="N236" s="4"/>
      <c r="O236" s="4"/>
      <c r="P236" s="4"/>
      <c r="Q236" s="4"/>
      <c r="R236" s="4"/>
      <c r="S236" s="4"/>
    </row>
    <row r="237" spans="2:19">
      <c r="B237" s="4"/>
      <c r="C237" s="4"/>
      <c r="E237" t="s">
        <v>143</v>
      </c>
      <c r="F237" s="136" t="s">
        <v>294</v>
      </c>
      <c r="G237" s="2"/>
      <c r="H237" s="2"/>
      <c r="I237" s="2"/>
      <c r="L237" s="2"/>
      <c r="M237" s="2"/>
      <c r="N237" s="2"/>
      <c r="O237" s="2"/>
      <c r="P237" s="2"/>
      <c r="Q237" s="2"/>
      <c r="R237" s="2"/>
      <c r="S237" s="2"/>
    </row>
    <row r="238" spans="2:19">
      <c r="B238" s="4"/>
      <c r="C238" s="4"/>
      <c r="F238" s="4" t="s">
        <v>132</v>
      </c>
      <c r="G238" s="4" t="s">
        <v>295</v>
      </c>
      <c r="I238" s="4"/>
      <c r="M238" s="4"/>
      <c r="N238" s="4"/>
      <c r="O238" s="4"/>
      <c r="P238" s="4"/>
      <c r="Q238" s="4"/>
      <c r="R238" s="4"/>
      <c r="S238" s="4"/>
    </row>
    <row r="239" spans="2:19">
      <c r="B239" s="4"/>
      <c r="C239" s="4"/>
      <c r="F239" s="4"/>
      <c r="G239" s="4" t="s">
        <v>134</v>
      </c>
      <c r="H239" s="4" t="s">
        <v>296</v>
      </c>
      <c r="I239" s="4"/>
      <c r="M239" s="4"/>
      <c r="N239" s="4"/>
      <c r="O239" s="4"/>
      <c r="P239" s="4"/>
      <c r="Q239" s="4"/>
      <c r="R239" s="4"/>
      <c r="S239" s="4"/>
    </row>
    <row r="240" spans="2:19">
      <c r="B240" s="4"/>
      <c r="C240" s="4"/>
      <c r="F240" s="4" t="s">
        <v>136</v>
      </c>
      <c r="G240" s="136" t="s">
        <v>297</v>
      </c>
      <c r="I240" s="4"/>
      <c r="M240" s="4"/>
      <c r="N240" s="4"/>
      <c r="O240" s="4"/>
      <c r="P240" s="4"/>
      <c r="Q240" s="4"/>
      <c r="R240" s="4"/>
      <c r="S240" s="4"/>
    </row>
    <row r="241" spans="2:21">
      <c r="B241" s="4"/>
      <c r="C241" s="4"/>
      <c r="E241" t="s">
        <v>151</v>
      </c>
      <c r="F241" s="4" t="s">
        <v>132</v>
      </c>
      <c r="G241" s="136" t="s">
        <v>298</v>
      </c>
      <c r="I241" s="4"/>
      <c r="M241" s="4"/>
      <c r="N241" s="4"/>
      <c r="O241" s="4"/>
      <c r="P241" s="4"/>
      <c r="Q241" s="4"/>
      <c r="R241" s="4"/>
      <c r="S241" s="4"/>
    </row>
    <row r="242" spans="2:21">
      <c r="B242" s="4"/>
      <c r="C242" s="4"/>
      <c r="F242" s="4" t="s">
        <v>136</v>
      </c>
      <c r="G242" s="136" t="s">
        <v>299</v>
      </c>
      <c r="I242" s="4"/>
      <c r="M242" s="4"/>
      <c r="N242" s="4"/>
      <c r="O242" s="4"/>
      <c r="P242" s="4"/>
      <c r="Q242" s="4"/>
      <c r="R242" s="4"/>
      <c r="S242" s="4"/>
    </row>
    <row r="243" spans="2:21">
      <c r="B243" s="4"/>
      <c r="C243" s="4"/>
      <c r="F243" s="4" t="s">
        <v>141</v>
      </c>
      <c r="G243" s="136" t="s">
        <v>300</v>
      </c>
      <c r="I243" s="4"/>
      <c r="M243" s="4"/>
      <c r="N243" s="4"/>
      <c r="O243" s="4"/>
      <c r="P243" s="4"/>
      <c r="Q243" s="4"/>
      <c r="R243" s="4"/>
      <c r="S243" s="4"/>
    </row>
    <row r="244" spans="2:21">
      <c r="B244" s="4"/>
      <c r="C244" s="4"/>
      <c r="F244" s="4"/>
      <c r="G244" s="136" t="s">
        <v>301</v>
      </c>
      <c r="I244" s="4"/>
      <c r="M244" s="4"/>
      <c r="N244" s="4"/>
      <c r="O244" s="4"/>
      <c r="P244" s="4"/>
      <c r="Q244" s="4"/>
      <c r="R244" s="4"/>
      <c r="S244" s="4"/>
    </row>
    <row r="245" spans="2:21">
      <c r="B245" s="4"/>
      <c r="C245" s="4"/>
      <c r="D245" s="2"/>
      <c r="E245" s="4" t="s">
        <v>151</v>
      </c>
      <c r="F245" s="4" t="s">
        <v>302</v>
      </c>
      <c r="H245" s="4"/>
      <c r="I245" s="4"/>
      <c r="M245" s="4"/>
      <c r="N245" s="4"/>
      <c r="O245" s="4"/>
      <c r="P245" s="4"/>
      <c r="Q245" s="4"/>
      <c r="R245" s="4"/>
      <c r="S245" s="4"/>
    </row>
    <row r="246" spans="2:21">
      <c r="B246" s="4"/>
      <c r="C246" s="4"/>
      <c r="D246" s="2"/>
      <c r="E246" s="2"/>
      <c r="F246" t="s">
        <v>132</v>
      </c>
      <c r="G246" s="4" t="s">
        <v>303</v>
      </c>
      <c r="I246" s="4"/>
      <c r="M246" s="4"/>
      <c r="N246" s="4"/>
      <c r="O246" s="4"/>
      <c r="P246" s="4"/>
      <c r="Q246" s="4"/>
      <c r="R246" s="4"/>
      <c r="S246" s="4"/>
    </row>
    <row r="247" spans="2:21">
      <c r="B247" s="4"/>
      <c r="C247" s="4"/>
      <c r="D247" s="2"/>
      <c r="E247" s="2"/>
      <c r="F247" s="4"/>
      <c r="G247" s="4" t="s">
        <v>304</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221</v>
      </c>
      <c r="E249" s="4"/>
      <c r="F249" s="4"/>
      <c r="G249" s="2" t="s">
        <v>305</v>
      </c>
      <c r="I249" s="4"/>
      <c r="J249" s="4"/>
      <c r="K249" s="4"/>
      <c r="L249" s="4"/>
      <c r="M249" s="4"/>
      <c r="N249" s="4"/>
      <c r="O249" s="4"/>
      <c r="P249" s="4"/>
      <c r="Q249" s="4"/>
      <c r="R249" s="4"/>
      <c r="S249" s="4"/>
    </row>
    <row r="250" spans="2:21">
      <c r="B250" s="2"/>
      <c r="C250" s="2"/>
      <c r="E250" s="4" t="s">
        <v>130</v>
      </c>
      <c r="F250" s="4" t="s">
        <v>306</v>
      </c>
      <c r="G250" s="4"/>
      <c r="I250" s="4"/>
      <c r="J250" s="4"/>
      <c r="K250" s="4"/>
      <c r="L250" s="4"/>
      <c r="M250" s="4"/>
      <c r="N250" s="4"/>
      <c r="O250" s="4"/>
      <c r="P250" s="4"/>
      <c r="Q250" s="4"/>
      <c r="R250" s="4"/>
      <c r="S250" s="4"/>
      <c r="T250" s="4"/>
      <c r="U250" s="4"/>
    </row>
    <row r="251" spans="2:21">
      <c r="B251" s="2"/>
      <c r="C251" s="2"/>
      <c r="E251" s="4"/>
      <c r="F251" s="120" t="s">
        <v>307</v>
      </c>
      <c r="G251" s="4"/>
      <c r="I251" s="120"/>
      <c r="J251" s="4"/>
      <c r="K251" s="4"/>
      <c r="L251" s="4"/>
      <c r="M251" s="4"/>
      <c r="N251" s="4"/>
      <c r="O251" s="4"/>
      <c r="P251" s="4"/>
      <c r="Q251" s="4"/>
      <c r="R251" s="4"/>
      <c r="S251" s="4"/>
      <c r="T251" s="4"/>
      <c r="U251" s="4"/>
    </row>
    <row r="252" spans="2:21">
      <c r="B252" s="2"/>
      <c r="C252" s="2"/>
      <c r="E252" s="4" t="s">
        <v>143</v>
      </c>
      <c r="F252" s="4" t="s">
        <v>308</v>
      </c>
      <c r="I252" s="4"/>
      <c r="J252" s="4"/>
      <c r="K252" s="4"/>
      <c r="L252" s="4"/>
      <c r="M252" s="4"/>
      <c r="N252" s="4"/>
      <c r="O252" s="4"/>
      <c r="P252" s="4"/>
      <c r="Q252" s="4"/>
      <c r="R252" s="4"/>
      <c r="S252" s="4"/>
      <c r="T252" s="4"/>
      <c r="U252" s="4"/>
    </row>
    <row r="253" spans="2:21">
      <c r="B253" s="2"/>
      <c r="C253" s="2"/>
      <c r="E253" s="4"/>
      <c r="F253" s="204" t="s">
        <v>132</v>
      </c>
      <c r="G253" s="204" t="s">
        <v>309</v>
      </c>
      <c r="I253" s="3"/>
      <c r="K253" s="3"/>
      <c r="L253" s="3"/>
      <c r="M253" s="3"/>
      <c r="N253" s="3"/>
      <c r="O253" s="3"/>
      <c r="Q253" s="4"/>
      <c r="R253" s="4"/>
      <c r="S253" s="4"/>
      <c r="T253" s="4"/>
      <c r="U253" s="4"/>
    </row>
    <row r="254" spans="2:21">
      <c r="B254" s="2"/>
      <c r="C254" s="2"/>
      <c r="E254" s="4"/>
      <c r="F254" s="204"/>
      <c r="G254" s="204" t="s">
        <v>310</v>
      </c>
      <c r="I254" s="3"/>
      <c r="K254" s="3"/>
      <c r="L254" s="3"/>
      <c r="M254" s="3"/>
      <c r="N254" s="3"/>
      <c r="O254" s="3"/>
      <c r="P254" s="3"/>
    </row>
    <row r="255" spans="2:21">
      <c r="B255" s="2"/>
      <c r="C255" s="2"/>
      <c r="E255" s="4"/>
      <c r="F255" s="204" t="s">
        <v>136</v>
      </c>
      <c r="G255" s="204" t="s">
        <v>311</v>
      </c>
      <c r="I255" s="4"/>
      <c r="K255" s="4"/>
      <c r="L255" s="4"/>
      <c r="M255" s="4"/>
      <c r="N255" s="4"/>
      <c r="O255" s="4"/>
      <c r="P255" s="3"/>
    </row>
    <row r="256" spans="2:21">
      <c r="B256" s="2"/>
      <c r="C256" s="2"/>
      <c r="E256" s="4"/>
      <c r="F256" s="204"/>
      <c r="G256" s="204" t="s">
        <v>312</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115</v>
      </c>
      <c r="E258" s="2" t="s">
        <v>313</v>
      </c>
      <c r="G258" s="4"/>
      <c r="H258" s="4"/>
      <c r="I258" s="4"/>
      <c r="J258" s="4"/>
      <c r="K258" s="4"/>
      <c r="L258" s="4"/>
      <c r="M258" s="4"/>
      <c r="N258" s="4"/>
      <c r="O258" s="4"/>
      <c r="P258" s="4"/>
      <c r="Q258" s="4"/>
      <c r="R258" s="4"/>
      <c r="S258" s="4"/>
    </row>
    <row r="259" spans="2:21">
      <c r="B259" s="2"/>
      <c r="C259" s="2"/>
      <c r="E259" s="4" t="s">
        <v>130</v>
      </c>
      <c r="F259" s="4" t="s">
        <v>314</v>
      </c>
      <c r="G259" s="4"/>
      <c r="I259" s="4"/>
      <c r="J259" s="4"/>
      <c r="K259" s="4"/>
      <c r="L259" s="4"/>
      <c r="M259" s="4"/>
      <c r="N259" s="4"/>
      <c r="O259" s="4"/>
      <c r="P259" s="4"/>
      <c r="Q259" s="4"/>
      <c r="R259" s="4"/>
      <c r="S259" s="4"/>
    </row>
    <row r="260" spans="2:21">
      <c r="B260" s="2"/>
      <c r="C260" s="2"/>
      <c r="E260" s="4" t="s">
        <v>143</v>
      </c>
      <c r="F260" s="4" t="s">
        <v>315</v>
      </c>
      <c r="G260" s="4"/>
      <c r="I260" s="4"/>
      <c r="J260" s="4"/>
      <c r="K260" s="4"/>
      <c r="L260" s="4"/>
      <c r="M260" s="4"/>
      <c r="N260" s="4"/>
      <c r="O260" s="4"/>
      <c r="P260" s="4"/>
      <c r="Q260" s="4"/>
      <c r="R260" s="4"/>
      <c r="S260" s="4"/>
    </row>
    <row r="261" spans="2:21">
      <c r="B261" s="2"/>
      <c r="C261" s="2"/>
      <c r="E261" s="4" t="s">
        <v>151</v>
      </c>
      <c r="F261" s="4" t="s">
        <v>316</v>
      </c>
      <c r="I261" s="4"/>
      <c r="J261" s="4"/>
      <c r="K261" s="4"/>
      <c r="L261" s="4"/>
      <c r="M261" s="4"/>
      <c r="N261" s="4"/>
      <c r="O261" s="4"/>
      <c r="P261" s="4"/>
      <c r="Q261" s="4"/>
      <c r="R261" s="4"/>
      <c r="S261" s="4"/>
    </row>
    <row r="262" spans="2:21">
      <c r="B262" s="2"/>
      <c r="C262" s="2"/>
      <c r="E262" s="2"/>
      <c r="F262" s="4" t="s">
        <v>317</v>
      </c>
      <c r="I262" s="4"/>
      <c r="J262" s="4"/>
      <c r="K262" s="4"/>
      <c r="L262" s="4"/>
      <c r="M262" s="4"/>
      <c r="N262" s="4"/>
      <c r="O262" s="4"/>
      <c r="P262" s="4"/>
      <c r="Q262" s="4"/>
      <c r="R262" s="4"/>
      <c r="S262" s="4"/>
    </row>
    <row r="263" spans="2:21">
      <c r="B263" s="2"/>
      <c r="C263" s="2"/>
      <c r="E263" s="4" t="s">
        <v>194</v>
      </c>
      <c r="F263" s="204" t="s">
        <v>318</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128</v>
      </c>
      <c r="E265" s="2" t="s">
        <v>319</v>
      </c>
      <c r="G265" s="4"/>
      <c r="H265" s="4"/>
      <c r="I265" s="4"/>
      <c r="J265" s="4"/>
      <c r="K265" s="4"/>
      <c r="L265" s="4"/>
      <c r="M265" s="4"/>
      <c r="N265" s="4"/>
      <c r="O265" s="4"/>
      <c r="P265" s="4"/>
      <c r="Q265" s="4"/>
      <c r="R265" s="4"/>
      <c r="S265" s="4"/>
    </row>
    <row r="266" spans="2:21">
      <c r="B266" s="2"/>
      <c r="C266" s="2"/>
      <c r="E266" s="4" t="s">
        <v>320</v>
      </c>
      <c r="F266" s="4"/>
      <c r="G266" s="4"/>
      <c r="O266" s="4"/>
      <c r="P266" s="4"/>
      <c r="Q266" s="4"/>
      <c r="R266" s="4"/>
      <c r="S266" s="4"/>
    </row>
    <row r="267" spans="2:21">
      <c r="B267" s="2"/>
      <c r="C267" s="2"/>
      <c r="E267" s="2"/>
      <c r="G267" s="4"/>
      <c r="H267" s="4"/>
      <c r="O267" s="4"/>
      <c r="P267" s="4"/>
      <c r="Q267" s="4"/>
      <c r="R267" s="4"/>
      <c r="S267" s="4"/>
    </row>
    <row r="268" spans="2:21">
      <c r="B268" s="2"/>
      <c r="C268" s="2"/>
      <c r="D268" s="2" t="s">
        <v>206</v>
      </c>
      <c r="E268" s="2" t="s">
        <v>321</v>
      </c>
      <c r="G268" s="4"/>
    </row>
    <row r="269" spans="2:21">
      <c r="B269" s="2"/>
      <c r="C269" s="2"/>
      <c r="E269" s="4" t="s">
        <v>322</v>
      </c>
      <c r="F269" s="4"/>
      <c r="G269" s="4"/>
      <c r="J269" s="4"/>
      <c r="K269" s="4"/>
      <c r="L269" s="4"/>
      <c r="M269" s="4"/>
      <c r="N269" s="4"/>
    </row>
    <row r="270" spans="2:21">
      <c r="B270" s="2"/>
      <c r="C270" s="2"/>
      <c r="E270" s="4" t="s">
        <v>323</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211</v>
      </c>
      <c r="E272" s="2" t="s">
        <v>324</v>
      </c>
      <c r="G272" s="4"/>
      <c r="H272" s="4"/>
      <c r="J272" s="4"/>
      <c r="K272" s="4"/>
      <c r="L272" s="4"/>
      <c r="M272" s="4"/>
      <c r="N272" s="4"/>
      <c r="O272" s="4"/>
      <c r="P272" s="4"/>
      <c r="Q272" s="4"/>
      <c r="R272" s="4"/>
      <c r="S272" s="4"/>
      <c r="T272" s="4"/>
      <c r="U272" s="4"/>
    </row>
    <row r="273" spans="2:23">
      <c r="B273" s="2"/>
      <c r="D273" s="4"/>
      <c r="E273" s="4" t="s">
        <v>325</v>
      </c>
      <c r="J273" s="4"/>
      <c r="K273" s="4"/>
      <c r="L273" s="4"/>
      <c r="M273" s="4"/>
      <c r="N273" s="4"/>
      <c r="O273" s="4"/>
      <c r="P273" s="4"/>
      <c r="Q273" s="4"/>
      <c r="R273" s="4"/>
      <c r="S273" s="4"/>
      <c r="T273" s="4"/>
      <c r="U273" s="4"/>
    </row>
    <row r="274" spans="2:23">
      <c r="B274" s="2"/>
      <c r="D274" s="4"/>
      <c r="E274" s="4" t="s">
        <v>326</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214</v>
      </c>
      <c r="E276" s="2" t="s">
        <v>327</v>
      </c>
      <c r="K276" s="4"/>
      <c r="L276" s="4"/>
      <c r="M276" s="4"/>
      <c r="N276" s="4"/>
      <c r="O276" s="4"/>
      <c r="P276" s="4"/>
      <c r="Q276" s="4"/>
      <c r="R276" s="4"/>
      <c r="S276" s="4"/>
      <c r="T276" s="4"/>
      <c r="U276" s="4"/>
    </row>
    <row r="277" spans="2:23">
      <c r="B277" s="2"/>
      <c r="D277" s="2"/>
      <c r="E277" t="s">
        <v>328</v>
      </c>
      <c r="K277" s="4"/>
      <c r="L277" s="4"/>
      <c r="M277" s="4"/>
      <c r="N277" s="4"/>
      <c r="O277" s="4"/>
      <c r="P277" s="4"/>
      <c r="Q277" s="4"/>
      <c r="R277" s="4"/>
      <c r="S277" s="4"/>
    </row>
    <row r="278" spans="2:23">
      <c r="B278" s="2"/>
      <c r="D278" s="4"/>
      <c r="E278" s="4" t="s">
        <v>329</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218</v>
      </c>
      <c r="E280" s="2" t="s">
        <v>330</v>
      </c>
      <c r="G280" s="4"/>
      <c r="H280" s="4"/>
      <c r="I280" s="4"/>
      <c r="J280" s="4"/>
      <c r="K280" s="4"/>
      <c r="L280" s="4"/>
      <c r="M280" s="4"/>
      <c r="O280" s="4"/>
      <c r="P280" s="4"/>
      <c r="Q280" s="4"/>
      <c r="R280" s="4"/>
      <c r="S280" s="4"/>
    </row>
    <row r="281" spans="2:23">
      <c r="B281" s="2"/>
      <c r="D281" s="2"/>
      <c r="E281" t="s">
        <v>331</v>
      </c>
      <c r="G281" s="4"/>
      <c r="H281" s="4"/>
      <c r="I281" s="4"/>
      <c r="J281" s="4"/>
      <c r="K281" s="4"/>
      <c r="L281" s="4"/>
      <c r="M281" s="4"/>
      <c r="P281" s="4"/>
      <c r="Q281" s="4"/>
      <c r="R281" s="4"/>
      <c r="S281" s="4"/>
    </row>
    <row r="282" spans="2:23">
      <c r="B282" s="2"/>
      <c r="D282" s="2"/>
      <c r="E282" t="s">
        <v>332</v>
      </c>
      <c r="G282" s="4"/>
      <c r="H282" s="4"/>
      <c r="I282" s="4"/>
      <c r="J282" s="4"/>
      <c r="K282" s="4"/>
      <c r="L282" s="4"/>
      <c r="M282" s="4"/>
      <c r="P282" s="4"/>
      <c r="Q282" s="4"/>
      <c r="R282" s="4"/>
      <c r="S282" s="4"/>
    </row>
    <row r="283" spans="2:23">
      <c r="B283" s="2"/>
      <c r="D283" s="2"/>
      <c r="E283" s="120" t="s">
        <v>333</v>
      </c>
      <c r="F283" s="120"/>
      <c r="G283" s="4"/>
      <c r="H283" s="120"/>
      <c r="I283" s="120"/>
      <c r="J283" s="4"/>
      <c r="K283" s="4"/>
      <c r="L283" s="4"/>
      <c r="M283" s="4"/>
      <c r="P283" s="4"/>
      <c r="Q283" s="4"/>
      <c r="R283" s="4"/>
      <c r="S283" s="4"/>
    </row>
    <row r="284" spans="2:23">
      <c r="B284" s="2"/>
      <c r="D284" s="2"/>
      <c r="E284" s="449" t="s">
        <v>334</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239</v>
      </c>
      <c r="E286" s="2" t="s">
        <v>335</v>
      </c>
      <c r="K286" s="4"/>
      <c r="L286" s="4"/>
      <c r="M286" s="4"/>
      <c r="N286" s="4"/>
    </row>
    <row r="287" spans="2:23">
      <c r="B287" s="2"/>
      <c r="D287" s="4"/>
      <c r="E287" s="4" t="s">
        <v>130</v>
      </c>
      <c r="F287" s="4" t="s">
        <v>336</v>
      </c>
      <c r="G287" s="4"/>
      <c r="O287" s="4"/>
      <c r="P287" s="4"/>
      <c r="Q287" s="4"/>
      <c r="R287" s="4"/>
      <c r="S287" s="4"/>
      <c r="T287" s="4"/>
      <c r="U287" s="4"/>
      <c r="V287" s="4"/>
      <c r="W287" s="4"/>
    </row>
    <row r="288" spans="2:23">
      <c r="B288" s="2"/>
      <c r="D288" s="4"/>
      <c r="E288" s="4"/>
      <c r="F288" s="120" t="s">
        <v>337</v>
      </c>
      <c r="G288" s="120"/>
      <c r="H288" s="120"/>
      <c r="I288" s="120"/>
      <c r="J288" s="120"/>
      <c r="K288" s="120"/>
      <c r="L288" s="120"/>
      <c r="M288" s="120"/>
      <c r="N288" s="120"/>
      <c r="O288" s="4"/>
      <c r="P288" s="4"/>
      <c r="Q288" s="4"/>
      <c r="R288" s="4"/>
      <c r="S288" s="4"/>
      <c r="T288" s="4"/>
      <c r="U288" s="4"/>
      <c r="V288" s="4"/>
      <c r="W288" s="4"/>
    </row>
    <row r="289" spans="2:23">
      <c r="B289" s="2"/>
      <c r="D289" s="4"/>
      <c r="E289" s="4" t="s">
        <v>143</v>
      </c>
      <c r="F289" s="4" t="s">
        <v>338</v>
      </c>
      <c r="G289" s="4"/>
      <c r="L289" s="4"/>
      <c r="M289" s="4"/>
      <c r="N289" s="4"/>
      <c r="O289" s="4"/>
      <c r="P289" s="4"/>
      <c r="Q289" s="4"/>
      <c r="R289" s="4"/>
      <c r="S289" s="4"/>
      <c r="T289" s="4"/>
      <c r="U289" s="4"/>
      <c r="V289" s="4"/>
      <c r="W289" s="4"/>
    </row>
    <row r="290" spans="2:23">
      <c r="B290" s="2"/>
      <c r="D290" s="4"/>
      <c r="E290" s="4" t="s">
        <v>151</v>
      </c>
      <c r="F290" s="4" t="s">
        <v>339</v>
      </c>
      <c r="G290" s="4"/>
      <c r="H290" s="4"/>
      <c r="K290" s="4"/>
      <c r="L290" s="4"/>
      <c r="M290" s="4"/>
      <c r="N290" s="4"/>
      <c r="O290" s="4"/>
      <c r="P290" s="4"/>
      <c r="Q290" s="4"/>
      <c r="R290" s="4"/>
      <c r="S290" s="4"/>
      <c r="T290" s="4"/>
      <c r="U290" s="4"/>
      <c r="V290" s="4"/>
      <c r="W290" s="4"/>
    </row>
    <row r="291" spans="2:23">
      <c r="B291" s="2"/>
      <c r="D291" s="4"/>
      <c r="E291" s="4"/>
      <c r="F291" s="4" t="s">
        <v>132</v>
      </c>
      <c r="G291" s="4" t="s">
        <v>340</v>
      </c>
      <c r="K291" s="4"/>
      <c r="L291" s="4"/>
      <c r="M291" s="4"/>
      <c r="N291" s="4"/>
      <c r="O291" s="4"/>
      <c r="P291" s="4"/>
      <c r="Q291" s="4"/>
      <c r="R291" s="4"/>
      <c r="S291" s="4"/>
      <c r="T291" s="4"/>
      <c r="U291" s="4"/>
      <c r="V291" s="4"/>
      <c r="W291" s="4"/>
    </row>
    <row r="292" spans="2:23">
      <c r="B292" s="2"/>
      <c r="D292" s="4"/>
      <c r="E292" s="4"/>
      <c r="F292" s="4" t="s">
        <v>136</v>
      </c>
      <c r="G292" s="4" t="s">
        <v>341</v>
      </c>
      <c r="H292" s="4"/>
      <c r="K292" s="4"/>
      <c r="L292" s="4"/>
      <c r="M292" s="4"/>
      <c r="N292" s="4"/>
      <c r="O292" s="4"/>
      <c r="P292" s="4"/>
      <c r="Q292" s="4"/>
      <c r="R292" s="4"/>
      <c r="S292" s="4"/>
      <c r="T292" s="4"/>
      <c r="U292" s="4"/>
      <c r="V292" s="4"/>
      <c r="W292" s="4"/>
    </row>
    <row r="293" spans="2:23">
      <c r="B293" s="2"/>
      <c r="D293" s="4"/>
      <c r="E293" s="4"/>
      <c r="F293" s="4" t="s">
        <v>141</v>
      </c>
      <c r="G293" s="4" t="s">
        <v>342</v>
      </c>
      <c r="K293" s="4"/>
      <c r="L293" s="4"/>
      <c r="M293" s="4"/>
      <c r="N293" s="4"/>
      <c r="O293" s="4"/>
      <c r="P293" s="4"/>
      <c r="Q293" s="4"/>
      <c r="R293" s="4"/>
      <c r="S293" s="4"/>
      <c r="T293" s="4"/>
      <c r="U293" s="4"/>
      <c r="V293" s="4"/>
      <c r="W293" s="4"/>
    </row>
    <row r="294" spans="2:23">
      <c r="B294" s="2"/>
      <c r="D294" s="4"/>
      <c r="E294" s="4"/>
      <c r="F294" s="4" t="s">
        <v>169</v>
      </c>
      <c r="G294" s="4" t="s">
        <v>343</v>
      </c>
      <c r="H294" s="4"/>
      <c r="K294" s="4"/>
      <c r="L294" s="4"/>
      <c r="M294" s="4"/>
      <c r="N294" s="4"/>
      <c r="O294" s="4"/>
      <c r="P294" s="4"/>
      <c r="Q294" s="4"/>
      <c r="R294" s="4"/>
      <c r="S294" s="4"/>
      <c r="T294" s="4"/>
      <c r="U294" s="4"/>
      <c r="V294" s="4"/>
      <c r="W294" s="4"/>
    </row>
    <row r="295" spans="2:23">
      <c r="B295" s="2"/>
      <c r="D295" s="4"/>
      <c r="E295" s="4"/>
      <c r="F295" s="4" t="s">
        <v>172</v>
      </c>
      <c r="G295" s="4" t="s">
        <v>344</v>
      </c>
      <c r="K295" s="4"/>
      <c r="L295" s="4"/>
      <c r="M295" s="4"/>
      <c r="N295" s="4"/>
      <c r="O295" s="4"/>
      <c r="P295" s="4"/>
      <c r="Q295" s="4"/>
      <c r="R295" s="4"/>
      <c r="S295" s="4"/>
      <c r="T295" s="4"/>
      <c r="U295" s="4"/>
      <c r="V295" s="4"/>
      <c r="W295" s="4"/>
    </row>
    <row r="296" spans="2:23">
      <c r="B296" s="2"/>
      <c r="D296" s="4"/>
      <c r="E296" s="4"/>
      <c r="F296" s="4" t="s">
        <v>175</v>
      </c>
      <c r="G296" s="4" t="s">
        <v>345</v>
      </c>
      <c r="H296" s="4"/>
      <c r="K296" s="4"/>
      <c r="L296" s="4"/>
      <c r="M296" s="4"/>
      <c r="N296" s="4"/>
      <c r="O296" s="4"/>
      <c r="P296" s="4"/>
      <c r="Q296" s="4"/>
      <c r="R296" s="4"/>
      <c r="S296" s="4"/>
      <c r="T296" s="4"/>
      <c r="U296" s="4"/>
      <c r="V296" s="4"/>
      <c r="W296" s="4"/>
    </row>
    <row r="297" spans="2:23">
      <c r="B297" s="2"/>
      <c r="D297" s="4"/>
      <c r="E297" s="4" t="s">
        <v>194</v>
      </c>
      <c r="F297" s="4" t="s">
        <v>346</v>
      </c>
      <c r="G297" s="4"/>
      <c r="K297" s="4"/>
      <c r="L297" s="4"/>
      <c r="M297" s="4"/>
      <c r="N297" s="4"/>
      <c r="O297" s="4"/>
      <c r="P297" s="4"/>
      <c r="Q297" s="4"/>
      <c r="R297" s="4"/>
      <c r="S297" s="4"/>
      <c r="T297" s="4"/>
      <c r="U297" s="4"/>
      <c r="V297" s="4"/>
      <c r="W297" s="4"/>
    </row>
    <row r="298" spans="2:23">
      <c r="B298" s="2"/>
      <c r="D298" s="4"/>
      <c r="E298" s="4" t="s">
        <v>198</v>
      </c>
      <c r="F298" s="4" t="s">
        <v>347</v>
      </c>
      <c r="G298" s="4"/>
      <c r="K298" s="4"/>
      <c r="L298" s="4"/>
      <c r="M298" s="4"/>
      <c r="N298" s="4"/>
      <c r="O298" s="4"/>
      <c r="P298" s="4"/>
      <c r="Q298" s="4"/>
      <c r="R298" s="4"/>
      <c r="S298" s="4"/>
      <c r="T298" s="4"/>
      <c r="U298" s="4"/>
      <c r="V298" s="4"/>
      <c r="W298" s="4"/>
    </row>
    <row r="299" spans="2:23">
      <c r="B299" s="2"/>
      <c r="D299" s="4"/>
      <c r="E299" s="4"/>
      <c r="F299" s="120" t="s">
        <v>348</v>
      </c>
      <c r="G299" s="120"/>
      <c r="H299" s="120"/>
      <c r="I299" s="120"/>
      <c r="J299" s="120"/>
      <c r="K299" s="120"/>
      <c r="L299" s="120"/>
      <c r="M299" s="4"/>
      <c r="N299" s="4"/>
      <c r="O299" s="4"/>
      <c r="P299" s="4"/>
      <c r="Q299" s="4"/>
      <c r="R299" s="4"/>
      <c r="S299" s="4"/>
      <c r="T299" s="4"/>
      <c r="U299" s="4"/>
      <c r="V299" s="4"/>
      <c r="W299" s="4"/>
    </row>
    <row r="300" spans="2:23">
      <c r="B300" s="2"/>
      <c r="D300" s="4"/>
      <c r="E300" s="4"/>
      <c r="F300" s="120" t="s">
        <v>349</v>
      </c>
      <c r="G300" s="120"/>
      <c r="H300" s="120"/>
      <c r="I300" s="120"/>
      <c r="J300" s="120"/>
      <c r="K300" s="120"/>
      <c r="L300" s="120"/>
      <c r="M300" s="4"/>
      <c r="N300" s="4"/>
      <c r="O300" s="4"/>
      <c r="P300" s="4"/>
      <c r="Q300" s="4"/>
      <c r="R300" s="4"/>
      <c r="S300" s="4"/>
      <c r="T300" s="4"/>
      <c r="U300" s="4"/>
      <c r="V300" s="4"/>
      <c r="W300" s="4"/>
    </row>
    <row r="301" spans="2:23">
      <c r="B301" s="2"/>
      <c r="D301" s="4"/>
      <c r="E301" s="4"/>
      <c r="F301" s="120" t="s">
        <v>350</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273</v>
      </c>
      <c r="E303" s="2" t="s">
        <v>351</v>
      </c>
      <c r="G303" s="4"/>
      <c r="H303" s="4"/>
      <c r="I303" s="4"/>
      <c r="J303" s="4"/>
      <c r="K303" s="4"/>
      <c r="L303" s="4"/>
      <c r="M303" s="4"/>
      <c r="N303" s="4"/>
      <c r="O303" s="4"/>
      <c r="P303" s="4"/>
      <c r="Q303" s="4"/>
      <c r="R303" s="4"/>
      <c r="S303" s="4"/>
      <c r="T303" s="4"/>
      <c r="U303" s="4"/>
      <c r="V303" s="4"/>
      <c r="W303" s="4"/>
    </row>
    <row r="304" spans="2:23">
      <c r="B304" s="2"/>
      <c r="D304" s="2"/>
      <c r="E304" s="4" t="s">
        <v>352</v>
      </c>
      <c r="F304" s="4"/>
      <c r="K304" s="4"/>
      <c r="L304" s="4"/>
      <c r="M304" s="4"/>
      <c r="N304" s="4"/>
      <c r="O304" s="4"/>
      <c r="P304" s="4"/>
      <c r="Q304" s="4"/>
      <c r="R304" s="4"/>
      <c r="S304" s="4"/>
      <c r="T304" s="4"/>
      <c r="U304" s="4"/>
      <c r="V304" s="4"/>
      <c r="W304" s="4"/>
    </row>
    <row r="305" spans="2:23">
      <c r="B305" s="2"/>
      <c r="D305" s="2"/>
      <c r="E305" s="4" t="s">
        <v>329</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243</v>
      </c>
      <c r="D307" s="2"/>
      <c r="F307" s="2"/>
      <c r="G307" s="2" t="s">
        <v>353</v>
      </c>
      <c r="I307" s="4"/>
      <c r="J307" s="4"/>
      <c r="K307" s="4"/>
      <c r="L307" s="4"/>
      <c r="M307" s="4"/>
      <c r="N307" s="4"/>
      <c r="O307" s="4"/>
      <c r="P307" s="4"/>
    </row>
    <row r="308" spans="2:23">
      <c r="B308" s="2"/>
      <c r="D308" s="2" t="s">
        <v>115</v>
      </c>
      <c r="E308" s="2" t="s">
        <v>354</v>
      </c>
      <c r="G308" s="2"/>
      <c r="H308" s="2"/>
      <c r="I308" s="2"/>
      <c r="J308" s="2"/>
      <c r="K308" s="2"/>
      <c r="L308" s="2"/>
      <c r="M308" s="2"/>
      <c r="N308" s="2"/>
      <c r="O308" s="2"/>
      <c r="P308" s="2"/>
      <c r="Q308" s="2"/>
      <c r="R308" s="2"/>
    </row>
    <row r="309" spans="2:23">
      <c r="B309" s="2"/>
      <c r="D309" s="2"/>
      <c r="E309" t="s">
        <v>355</v>
      </c>
      <c r="G309" s="4"/>
      <c r="I309" s="4"/>
      <c r="K309" s="4"/>
    </row>
    <row r="310" spans="2:23">
      <c r="B310" s="2"/>
      <c r="D310" s="2"/>
      <c r="E310" s="4" t="s">
        <v>356</v>
      </c>
      <c r="F310" s="4"/>
      <c r="G310" s="4"/>
      <c r="I310" s="4"/>
      <c r="K310" s="4"/>
    </row>
    <row r="311" spans="2:23">
      <c r="B311" s="2"/>
      <c r="D311" s="2"/>
      <c r="E311" s="4" t="s">
        <v>357</v>
      </c>
      <c r="F311" s="4"/>
      <c r="G311" s="4"/>
      <c r="I311" s="4"/>
      <c r="K311" s="4"/>
    </row>
    <row r="312" spans="2:23">
      <c r="B312" s="2"/>
      <c r="D312" s="2"/>
      <c r="E312" s="4" t="s">
        <v>358</v>
      </c>
      <c r="F312" s="4"/>
      <c r="G312" s="4"/>
      <c r="I312" s="4"/>
      <c r="K312" s="4"/>
    </row>
    <row r="313" spans="2:23">
      <c r="B313" s="2"/>
      <c r="D313" s="2"/>
      <c r="G313" s="4"/>
      <c r="I313" s="4"/>
      <c r="K313" s="4"/>
    </row>
    <row r="314" spans="2:23">
      <c r="B314" s="2"/>
      <c r="D314" s="2" t="s">
        <v>128</v>
      </c>
      <c r="E314" s="2" t="s">
        <v>359</v>
      </c>
      <c r="G314" s="4"/>
      <c r="H314" s="4"/>
      <c r="I314" s="4"/>
      <c r="J314" s="4"/>
      <c r="K314" s="4"/>
      <c r="P314" s="4"/>
      <c r="Q314" s="4"/>
      <c r="R314" s="4"/>
      <c r="S314" s="4"/>
    </row>
    <row r="315" spans="2:23">
      <c r="B315" s="2"/>
      <c r="D315" s="2"/>
      <c r="E315" t="s">
        <v>360</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206</v>
      </c>
      <c r="E317" s="170" t="s">
        <v>361</v>
      </c>
      <c r="F317" s="3"/>
      <c r="G317" s="4"/>
      <c r="H317" s="4"/>
      <c r="I317" s="4"/>
      <c r="J317" s="4"/>
      <c r="K317" s="4"/>
      <c r="L317" s="4"/>
      <c r="M317" s="4"/>
      <c r="N317" s="4"/>
      <c r="O317" s="4"/>
      <c r="P317" s="4"/>
      <c r="Q317" s="4"/>
      <c r="R317" s="4"/>
      <c r="S317" s="4"/>
    </row>
    <row r="318" spans="2:23">
      <c r="B318" s="2"/>
      <c r="E318" t="s">
        <v>362</v>
      </c>
      <c r="I318" s="4"/>
      <c r="J318" s="4"/>
      <c r="K318" s="4"/>
      <c r="L318" s="4"/>
      <c r="M318" s="4"/>
      <c r="N318" s="4"/>
      <c r="O318" s="4"/>
      <c r="P318" s="4"/>
      <c r="Q318" s="4"/>
      <c r="R318" s="4"/>
      <c r="S318" s="4"/>
    </row>
    <row r="319" spans="2:23">
      <c r="B319" s="2"/>
      <c r="E319" t="s">
        <v>363</v>
      </c>
      <c r="I319" s="4"/>
      <c r="J319" s="4"/>
      <c r="K319" s="4"/>
      <c r="L319" s="4"/>
      <c r="M319" s="4"/>
      <c r="N319" s="4"/>
      <c r="O319" s="4"/>
      <c r="P319" s="4"/>
      <c r="Q319" s="4"/>
      <c r="R319" s="4"/>
      <c r="S319" s="4"/>
    </row>
    <row r="320" spans="2:23">
      <c r="B320" s="2"/>
      <c r="E320" t="s">
        <v>364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246</v>
      </c>
      <c r="G322" s="2" t="s">
        <v>365</v>
      </c>
      <c r="I322" s="4"/>
      <c r="J322" s="4"/>
      <c r="K322" s="4"/>
      <c r="L322" s="4"/>
      <c r="M322" s="4"/>
      <c r="N322" s="4"/>
      <c r="O322" s="4"/>
      <c r="P322" s="4"/>
      <c r="Q322" s="4"/>
      <c r="R322" s="4"/>
      <c r="S322" s="4"/>
    </row>
    <row r="323" spans="1:38">
      <c r="A323" t="s">
        <v>366</v>
      </c>
      <c r="D323" s="2" t="s">
        <v>115</v>
      </c>
      <c r="E323" s="2" t="s">
        <v>365</v>
      </c>
      <c r="J323" s="2"/>
      <c r="K323" s="2"/>
      <c r="L323" s="2"/>
      <c r="M323" s="4"/>
      <c r="N323" s="4"/>
      <c r="O323" s="4"/>
      <c r="P323" s="4"/>
      <c r="Q323" s="4"/>
      <c r="R323" s="4"/>
      <c r="S323" s="4"/>
    </row>
    <row r="324" spans="1:38">
      <c r="E324" t="s">
        <v>130</v>
      </c>
      <c r="F324" s="4" t="s">
        <v>367</v>
      </c>
      <c r="J324" s="4"/>
      <c r="K324" s="4"/>
      <c r="L324" s="4"/>
      <c r="M324" s="4"/>
      <c r="N324" s="4"/>
      <c r="O324" s="4"/>
      <c r="P324" s="4"/>
      <c r="Q324" s="4"/>
      <c r="R324" s="4"/>
      <c r="S324" s="4"/>
    </row>
    <row r="325" spans="1:38">
      <c r="E325" s="4" t="s">
        <v>143</v>
      </c>
      <c r="F325" t="s">
        <v>368</v>
      </c>
      <c r="J325" s="4"/>
      <c r="K325" s="4"/>
      <c r="L325" s="4"/>
      <c r="M325" s="4"/>
      <c r="N325" s="4"/>
      <c r="O325" s="4"/>
      <c r="P325" s="4"/>
      <c r="Q325" s="4"/>
      <c r="R325" s="4"/>
      <c r="S325" s="4"/>
    </row>
    <row r="326" spans="1:38">
      <c r="F326" s="120" t="s">
        <v>369</v>
      </c>
      <c r="I326" s="120"/>
      <c r="J326" s="4"/>
      <c r="K326" s="4"/>
      <c r="L326" s="4"/>
      <c r="M326" s="4"/>
      <c r="N326" s="4"/>
      <c r="O326" s="4"/>
      <c r="P326" s="4"/>
      <c r="Q326" s="4"/>
      <c r="R326" s="4"/>
      <c r="S326" s="4"/>
    </row>
    <row r="327" spans="1:38">
      <c r="F327" s="120" t="s">
        <v>370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371</v>
      </c>
      <c r="C329" s="11" t="s">
        <v>167</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183</v>
      </c>
      <c r="G331" s="2" t="s">
        <v>167</v>
      </c>
      <c r="I331" s="2"/>
      <c r="J331" s="4"/>
      <c r="K331" s="4"/>
      <c r="L331" s="4"/>
      <c r="M331" s="4"/>
      <c r="N331" s="4"/>
      <c r="O331" s="4"/>
      <c r="P331" s="4"/>
      <c r="Q331" s="4"/>
      <c r="R331" s="4"/>
      <c r="S331" s="4"/>
    </row>
    <row r="332" spans="1:38">
      <c r="B332" s="2"/>
      <c r="C332" s="2"/>
      <c r="D332" s="2" t="s">
        <v>115</v>
      </c>
      <c r="E332" s="2" t="s">
        <v>167</v>
      </c>
      <c r="G332" s="2"/>
      <c r="I332" s="2"/>
      <c r="J332" s="4"/>
      <c r="K332" s="4"/>
      <c r="L332" s="4"/>
      <c r="M332" s="4"/>
      <c r="N332" s="4"/>
      <c r="O332" s="4"/>
      <c r="P332" s="4"/>
      <c r="Q332" s="4"/>
      <c r="R332" s="4"/>
      <c r="S332" s="4"/>
    </row>
    <row r="333" spans="1:38">
      <c r="B333" s="2"/>
      <c r="E333" t="s">
        <v>130</v>
      </c>
      <c r="F333" t="s">
        <v>372</v>
      </c>
      <c r="J333" s="4"/>
      <c r="K333" s="4"/>
      <c r="L333" s="4"/>
      <c r="M333" s="4"/>
      <c r="N333" s="4"/>
      <c r="O333" s="4"/>
      <c r="P333" s="4"/>
      <c r="Q333" s="4"/>
      <c r="R333" s="4"/>
      <c r="S333" s="4"/>
    </row>
    <row r="334" spans="1:38">
      <c r="B334" s="2"/>
      <c r="E334" s="4"/>
      <c r="F334" s="4" t="s">
        <v>373</v>
      </c>
      <c r="J334" s="4"/>
      <c r="K334" s="4"/>
      <c r="L334" s="4"/>
      <c r="M334" s="4"/>
      <c r="N334" s="4"/>
      <c r="O334" s="4"/>
      <c r="P334" s="4"/>
      <c r="Q334" s="4"/>
      <c r="R334" s="4"/>
      <c r="S334" s="4"/>
    </row>
    <row r="335" spans="1:38">
      <c r="B335" s="2"/>
      <c r="E335" s="4"/>
      <c r="F335" s="4" t="s">
        <v>374</v>
      </c>
      <c r="I335" s="4"/>
      <c r="J335" s="4"/>
      <c r="K335" s="4"/>
      <c r="L335" s="4"/>
      <c r="M335" s="4"/>
      <c r="N335" s="4"/>
      <c r="O335" s="4"/>
      <c r="P335" s="4"/>
      <c r="Q335" s="4"/>
      <c r="R335" s="4"/>
      <c r="S335" s="4"/>
    </row>
    <row r="336" spans="1:38">
      <c r="B336" s="2"/>
      <c r="E336" s="4" t="s">
        <v>143</v>
      </c>
      <c r="F336" s="1299" t="s">
        <v>375</v>
      </c>
      <c r="G336" s="1298"/>
      <c r="H336" s="1298"/>
      <c r="I336" s="1298"/>
      <c r="J336" s="1298"/>
      <c r="K336" s="1298"/>
      <c r="L336" s="1298"/>
      <c r="M336" s="1298"/>
      <c r="N336" s="1298"/>
      <c r="O336" s="1298"/>
      <c r="P336" s="1298"/>
      <c r="Q336" s="1298"/>
      <c r="R336" s="1298"/>
      <c r="S336" s="1298"/>
      <c r="T336" s="1298"/>
      <c r="U336" s="1298"/>
      <c r="V336" s="1298"/>
      <c r="W336" s="1298"/>
      <c r="X336" s="1298"/>
      <c r="Y336" s="1298"/>
      <c r="Z336" s="1298"/>
      <c r="AA336" s="1298"/>
      <c r="AB336" s="1298"/>
      <c r="AC336" s="1298"/>
      <c r="AD336" s="1298"/>
      <c r="AE336" s="1298"/>
      <c r="AF336" s="1298"/>
      <c r="AG336" s="1298"/>
      <c r="AH336" s="1298"/>
      <c r="AI336" s="1298"/>
      <c r="AJ336" s="1298"/>
      <c r="AK336" s="1298"/>
    </row>
    <row r="337" spans="2:37">
      <c r="B337" s="2"/>
      <c r="E337" s="4"/>
      <c r="F337" s="1298"/>
      <c r="G337" s="1298"/>
      <c r="H337" s="1298"/>
      <c r="I337" s="1298"/>
      <c r="J337" s="1298"/>
      <c r="K337" s="1298"/>
      <c r="L337" s="1298"/>
      <c r="M337" s="1298"/>
      <c r="N337" s="1298"/>
      <c r="O337" s="1298"/>
      <c r="P337" s="1298"/>
      <c r="Q337" s="1298"/>
      <c r="R337" s="1298"/>
      <c r="S337" s="1298"/>
      <c r="T337" s="1298"/>
      <c r="U337" s="1298"/>
      <c r="V337" s="1298"/>
      <c r="W337" s="1298"/>
      <c r="X337" s="1298"/>
      <c r="Y337" s="1298"/>
      <c r="Z337" s="1298"/>
      <c r="AA337" s="1298"/>
      <c r="AB337" s="1298"/>
      <c r="AC337" s="1298"/>
      <c r="AD337" s="1298"/>
      <c r="AE337" s="1298"/>
      <c r="AF337" s="1298"/>
      <c r="AG337" s="1298"/>
      <c r="AH337" s="1298"/>
      <c r="AI337" s="1298"/>
      <c r="AJ337" s="1298"/>
      <c r="AK337" s="1298"/>
    </row>
    <row r="338" spans="2:37">
      <c r="B338" s="2"/>
      <c r="E338" s="4"/>
      <c r="F338" s="1298"/>
      <c r="G338" s="1298"/>
      <c r="H338" s="1298"/>
      <c r="I338" s="1298"/>
      <c r="J338" s="1298"/>
      <c r="K338" s="1298"/>
      <c r="L338" s="1298"/>
      <c r="M338" s="1298"/>
      <c r="N338" s="1298"/>
      <c r="O338" s="1298"/>
      <c r="P338" s="1298"/>
      <c r="Q338" s="1298"/>
      <c r="R338" s="1298"/>
      <c r="S338" s="1298"/>
      <c r="T338" s="1298"/>
      <c r="U338" s="1298"/>
      <c r="V338" s="1298"/>
      <c r="W338" s="1298"/>
      <c r="X338" s="1298"/>
      <c r="Y338" s="1298"/>
      <c r="Z338" s="1298"/>
      <c r="AA338" s="1298"/>
      <c r="AB338" s="1298"/>
      <c r="AC338" s="1298"/>
      <c r="AD338" s="1298"/>
      <c r="AE338" s="1298"/>
      <c r="AF338" s="1298"/>
      <c r="AG338" s="1298"/>
      <c r="AH338" s="1298"/>
      <c r="AI338" s="1298"/>
      <c r="AJ338" s="1298"/>
      <c r="AK338" s="1298"/>
    </row>
    <row r="339" spans="2:37">
      <c r="B339" s="2"/>
      <c r="F339" s="4"/>
      <c r="H339" s="4"/>
      <c r="I339" s="4"/>
      <c r="J339" s="4"/>
      <c r="K339" s="4"/>
      <c r="L339" s="4"/>
      <c r="M339" s="4"/>
      <c r="N339" s="4"/>
      <c r="O339" s="4"/>
      <c r="P339" s="4"/>
      <c r="Q339" s="4"/>
      <c r="R339" s="4"/>
      <c r="S339" s="4"/>
    </row>
    <row r="340" spans="2:37">
      <c r="B340" s="2"/>
      <c r="C340" s="2" t="s">
        <v>201</v>
      </c>
      <c r="G340" s="2" t="s">
        <v>376</v>
      </c>
      <c r="I340" s="2"/>
      <c r="J340" s="4"/>
      <c r="K340" s="4"/>
      <c r="L340" s="4"/>
      <c r="M340" s="4"/>
      <c r="N340" s="4"/>
      <c r="O340" s="4"/>
      <c r="P340" s="4"/>
      <c r="Q340" s="4"/>
      <c r="R340" s="4"/>
      <c r="S340" s="4"/>
    </row>
    <row r="341" spans="2:37" ht="13.2" customHeight="1">
      <c r="B341" s="2"/>
      <c r="E341" s="1302" t="s">
        <v>377</v>
      </c>
      <c r="F341" s="1298"/>
      <c r="G341" s="1298"/>
      <c r="H341" s="1298"/>
      <c r="I341" s="1298"/>
      <c r="J341" s="1298"/>
      <c r="K341" s="1298"/>
      <c r="L341" s="1298"/>
      <c r="M341" s="1298"/>
      <c r="N341" s="1298"/>
      <c r="O341" s="1298"/>
      <c r="P341" s="1298"/>
      <c r="Q341" s="1298"/>
      <c r="R341" s="1298"/>
      <c r="S341" s="1298"/>
      <c r="T341" s="1298"/>
      <c r="U341" s="1298"/>
      <c r="V341" s="1298"/>
      <c r="W341" s="1298"/>
      <c r="X341" s="1298"/>
      <c r="Y341" s="1298"/>
      <c r="Z341" s="1298"/>
      <c r="AA341" s="1298"/>
      <c r="AB341" s="1298"/>
      <c r="AC341" s="1298"/>
      <c r="AD341" s="1298"/>
      <c r="AE341" s="1298"/>
      <c r="AF341" s="1298"/>
      <c r="AG341" s="1298"/>
      <c r="AH341" s="1298"/>
      <c r="AI341" s="1298"/>
      <c r="AJ341" s="1298"/>
      <c r="AK341" s="1298"/>
    </row>
    <row r="342" spans="2:37">
      <c r="B342" s="2"/>
      <c r="E342" s="1298"/>
      <c r="F342" s="1298"/>
      <c r="G342" s="1298"/>
      <c r="H342" s="1298"/>
      <c r="I342" s="1298"/>
      <c r="J342" s="1298"/>
      <c r="K342" s="1298"/>
      <c r="L342" s="1298"/>
      <c r="M342" s="1298"/>
      <c r="N342" s="1298"/>
      <c r="O342" s="1298"/>
      <c r="P342" s="1298"/>
      <c r="Q342" s="1298"/>
      <c r="R342" s="1298"/>
      <c r="S342" s="1298"/>
      <c r="T342" s="1298"/>
      <c r="U342" s="1298"/>
      <c r="V342" s="1298"/>
      <c r="W342" s="1298"/>
      <c r="X342" s="1298"/>
      <c r="Y342" s="1298"/>
      <c r="Z342" s="1298"/>
      <c r="AA342" s="1298"/>
      <c r="AB342" s="1298"/>
      <c r="AC342" s="1298"/>
      <c r="AD342" s="1298"/>
      <c r="AE342" s="1298"/>
      <c r="AF342" s="1298"/>
      <c r="AG342" s="1298"/>
      <c r="AH342" s="1298"/>
      <c r="AI342" s="1298"/>
      <c r="AJ342" s="1298"/>
      <c r="AK342" s="1298"/>
    </row>
    <row r="343" spans="2:37">
      <c r="B343" s="2"/>
      <c r="E343" s="1298"/>
      <c r="F343" s="1298"/>
      <c r="G343" s="1298"/>
      <c r="H343" s="1298"/>
      <c r="I343" s="1298"/>
      <c r="J343" s="1298"/>
      <c r="K343" s="1298"/>
      <c r="L343" s="1298"/>
      <c r="M343" s="1298"/>
      <c r="N343" s="1298"/>
      <c r="O343" s="1298"/>
      <c r="P343" s="1298"/>
      <c r="Q343" s="1298"/>
      <c r="R343" s="1298"/>
      <c r="S343" s="1298"/>
      <c r="T343" s="1298"/>
      <c r="U343" s="1298"/>
      <c r="V343" s="1298"/>
      <c r="W343" s="1298"/>
      <c r="X343" s="1298"/>
      <c r="Y343" s="1298"/>
      <c r="Z343" s="1298"/>
      <c r="AA343" s="1298"/>
      <c r="AB343" s="1298"/>
      <c r="AC343" s="1298"/>
      <c r="AD343" s="1298"/>
      <c r="AE343" s="1298"/>
      <c r="AF343" s="1298"/>
      <c r="AG343" s="1298"/>
      <c r="AH343" s="1298"/>
      <c r="AI343" s="1298"/>
      <c r="AJ343" s="1298"/>
      <c r="AK343" s="1298"/>
    </row>
    <row r="344" spans="2:37">
      <c r="B344" s="2"/>
      <c r="E344" s="1298"/>
      <c r="F344" s="1298"/>
      <c r="G344" s="1298"/>
      <c r="H344" s="1298"/>
      <c r="I344" s="1298"/>
      <c r="J344" s="1298"/>
      <c r="K344" s="1298"/>
      <c r="L344" s="1298"/>
      <c r="M344" s="1298"/>
      <c r="N344" s="1298"/>
      <c r="O344" s="1298"/>
      <c r="P344" s="1298"/>
      <c r="Q344" s="1298"/>
      <c r="R344" s="1298"/>
      <c r="S344" s="1298"/>
      <c r="T344" s="1298"/>
      <c r="U344" s="1298"/>
      <c r="V344" s="1298"/>
      <c r="W344" s="1298"/>
      <c r="X344" s="1298"/>
      <c r="Y344" s="1298"/>
      <c r="Z344" s="1298"/>
      <c r="AA344" s="1298"/>
      <c r="AB344" s="1298"/>
      <c r="AC344" s="1298"/>
      <c r="AD344" s="1298"/>
      <c r="AE344" s="1298"/>
      <c r="AF344" s="1298"/>
      <c r="AG344" s="1298"/>
      <c r="AH344" s="1298"/>
      <c r="AI344" s="1298"/>
      <c r="AJ344" s="1298"/>
      <c r="AK344" s="1298"/>
    </row>
    <row r="345" spans="2:37">
      <c r="B345" s="2"/>
      <c r="E345" s="1298"/>
      <c r="F345" s="1298"/>
      <c r="G345" s="1298"/>
      <c r="H345" s="1298"/>
      <c r="I345" s="1298"/>
      <c r="J345" s="1298"/>
      <c r="K345" s="1298"/>
      <c r="L345" s="1298"/>
      <c r="M345" s="1298"/>
      <c r="N345" s="1298"/>
      <c r="O345" s="1298"/>
      <c r="P345" s="1298"/>
      <c r="Q345" s="1298"/>
      <c r="R345" s="1298"/>
      <c r="S345" s="1298"/>
      <c r="T345" s="1298"/>
      <c r="U345" s="1298"/>
      <c r="V345" s="1298"/>
      <c r="W345" s="1298"/>
      <c r="X345" s="1298"/>
      <c r="Y345" s="1298"/>
      <c r="Z345" s="1298"/>
      <c r="AA345" s="1298"/>
      <c r="AB345" s="1298"/>
      <c r="AC345" s="1298"/>
      <c r="AD345" s="1298"/>
      <c r="AE345" s="1298"/>
      <c r="AF345" s="1298"/>
      <c r="AG345" s="1298"/>
      <c r="AH345" s="1298"/>
      <c r="AI345" s="1298"/>
      <c r="AJ345" s="1298"/>
      <c r="AK345" s="1298"/>
    </row>
    <row r="346" spans="2:37">
      <c r="B346" s="2"/>
      <c r="E346" s="3" t="s">
        <v>130</v>
      </c>
      <c r="F346" s="1299" t="s">
        <v>378</v>
      </c>
      <c r="G346" s="1298"/>
      <c r="H346" s="1298"/>
      <c r="I346" s="1298"/>
      <c r="J346" s="1298"/>
      <c r="K346" s="1298"/>
      <c r="L346" s="1298"/>
      <c r="M346" s="1298"/>
      <c r="N346" s="1298"/>
      <c r="O346" s="1298"/>
      <c r="P346" s="1298"/>
      <c r="Q346" s="1298"/>
      <c r="R346" s="1298"/>
      <c r="S346" s="1298"/>
      <c r="T346" s="1298"/>
      <c r="U346" s="1298"/>
      <c r="V346" s="1298"/>
      <c r="W346" s="1298"/>
      <c r="X346" s="1298"/>
      <c r="Y346" s="1298"/>
      <c r="Z346" s="1298"/>
      <c r="AA346" s="1298"/>
      <c r="AB346" s="1298"/>
      <c r="AC346" s="1298"/>
      <c r="AD346" s="1298"/>
      <c r="AE346" s="1298"/>
      <c r="AF346" s="1298"/>
      <c r="AG346" s="1298"/>
      <c r="AH346" s="1298"/>
      <c r="AI346" s="1298"/>
      <c r="AJ346" s="1298"/>
      <c r="AK346" s="1298"/>
    </row>
    <row r="347" spans="2:37">
      <c r="B347" s="2"/>
      <c r="E347" s="3"/>
      <c r="F347" s="1298"/>
      <c r="G347" s="1298"/>
      <c r="H347" s="1298"/>
      <c r="I347" s="1298"/>
      <c r="J347" s="1298"/>
      <c r="K347" s="1298"/>
      <c r="L347" s="1298"/>
      <c r="M347" s="1298"/>
      <c r="N347" s="1298"/>
      <c r="O347" s="1298"/>
      <c r="P347" s="1298"/>
      <c r="Q347" s="1298"/>
      <c r="R347" s="1298"/>
      <c r="S347" s="1298"/>
      <c r="T347" s="1298"/>
      <c r="U347" s="1298"/>
      <c r="V347" s="1298"/>
      <c r="W347" s="1298"/>
      <c r="X347" s="1298"/>
      <c r="Y347" s="1298"/>
      <c r="Z347" s="1298"/>
      <c r="AA347" s="1298"/>
      <c r="AB347" s="1298"/>
      <c r="AC347" s="1298"/>
      <c r="AD347" s="1298"/>
      <c r="AE347" s="1298"/>
      <c r="AF347" s="1298"/>
      <c r="AG347" s="1298"/>
      <c r="AH347" s="1298"/>
      <c r="AI347" s="1298"/>
      <c r="AJ347" s="1298"/>
      <c r="AK347" s="1298"/>
    </row>
    <row r="348" spans="2:37">
      <c r="B348" s="2"/>
      <c r="E348" s="3"/>
      <c r="F348" s="1298"/>
      <c r="G348" s="1298"/>
      <c r="H348" s="1298"/>
      <c r="I348" s="1298"/>
      <c r="J348" s="1298"/>
      <c r="K348" s="1298"/>
      <c r="L348" s="1298"/>
      <c r="M348" s="1298"/>
      <c r="N348" s="1298"/>
      <c r="O348" s="1298"/>
      <c r="P348" s="1298"/>
      <c r="Q348" s="1298"/>
      <c r="R348" s="1298"/>
      <c r="S348" s="1298"/>
      <c r="T348" s="1298"/>
      <c r="U348" s="1298"/>
      <c r="V348" s="1298"/>
      <c r="W348" s="1298"/>
      <c r="X348" s="1298"/>
      <c r="Y348" s="1298"/>
      <c r="Z348" s="1298"/>
      <c r="AA348" s="1298"/>
      <c r="AB348" s="1298"/>
      <c r="AC348" s="1298"/>
      <c r="AD348" s="1298"/>
      <c r="AE348" s="1298"/>
      <c r="AF348" s="1298"/>
      <c r="AG348" s="1298"/>
      <c r="AH348" s="1298"/>
      <c r="AI348" s="1298"/>
      <c r="AJ348" s="1298"/>
      <c r="AK348" s="1298"/>
    </row>
    <row r="349" spans="2:37">
      <c r="B349" s="2"/>
      <c r="E349" s="3"/>
      <c r="F349" s="1298"/>
      <c r="G349" s="1298"/>
      <c r="H349" s="1298"/>
      <c r="I349" s="1298"/>
      <c r="J349" s="1298"/>
      <c r="K349" s="1298"/>
      <c r="L349" s="1298"/>
      <c r="M349" s="1298"/>
      <c r="N349" s="1298"/>
      <c r="O349" s="1298"/>
      <c r="P349" s="1298"/>
      <c r="Q349" s="1298"/>
      <c r="R349" s="1298"/>
      <c r="S349" s="1298"/>
      <c r="T349" s="1298"/>
      <c r="U349" s="1298"/>
      <c r="V349" s="1298"/>
      <c r="W349" s="1298"/>
      <c r="X349" s="1298"/>
      <c r="Y349" s="1298"/>
      <c r="Z349" s="1298"/>
      <c r="AA349" s="1298"/>
      <c r="AB349" s="1298"/>
      <c r="AC349" s="1298"/>
      <c r="AD349" s="1298"/>
      <c r="AE349" s="1298"/>
      <c r="AF349" s="1298"/>
      <c r="AG349" s="1298"/>
      <c r="AH349" s="1298"/>
      <c r="AI349" s="1298"/>
      <c r="AJ349" s="1298"/>
      <c r="AK349" s="1298"/>
    </row>
    <row r="350" spans="2:37">
      <c r="B350" s="2"/>
      <c r="E350" s="3" t="s">
        <v>143</v>
      </c>
      <c r="F350" s="1299" t="s">
        <v>379</v>
      </c>
      <c r="G350" s="1298"/>
      <c r="H350" s="1298"/>
      <c r="I350" s="1298"/>
      <c r="J350" s="1298"/>
      <c r="K350" s="1298"/>
      <c r="L350" s="1298"/>
      <c r="M350" s="1298"/>
      <c r="N350" s="1298"/>
      <c r="O350" s="1298"/>
      <c r="P350" s="1298"/>
      <c r="Q350" s="1298"/>
      <c r="R350" s="1298"/>
      <c r="S350" s="1298"/>
      <c r="T350" s="1298"/>
      <c r="U350" s="1298"/>
      <c r="V350" s="1298"/>
      <c r="W350" s="1298"/>
      <c r="X350" s="1298"/>
      <c r="Y350" s="1298"/>
      <c r="Z350" s="1298"/>
      <c r="AA350" s="1298"/>
      <c r="AB350" s="1298"/>
      <c r="AC350" s="1298"/>
      <c r="AD350" s="1298"/>
      <c r="AE350" s="1298"/>
      <c r="AF350" s="1298"/>
      <c r="AG350" s="1298"/>
      <c r="AH350" s="1298"/>
      <c r="AI350" s="1298"/>
      <c r="AJ350" s="1298"/>
      <c r="AK350" s="1298"/>
    </row>
    <row r="351" spans="2:37">
      <c r="B351" s="2"/>
      <c r="F351" s="1298"/>
      <c r="G351" s="1298"/>
      <c r="H351" s="1298"/>
      <c r="I351" s="1298"/>
      <c r="J351" s="1298"/>
      <c r="K351" s="1298"/>
      <c r="L351" s="1298"/>
      <c r="M351" s="1298"/>
      <c r="N351" s="1298"/>
      <c r="O351" s="1298"/>
      <c r="P351" s="1298"/>
      <c r="Q351" s="1298"/>
      <c r="R351" s="1298"/>
      <c r="S351" s="1298"/>
      <c r="T351" s="1298"/>
      <c r="U351" s="1298"/>
      <c r="V351" s="1298"/>
      <c r="W351" s="1298"/>
      <c r="X351" s="1298"/>
      <c r="Y351" s="1298"/>
      <c r="Z351" s="1298"/>
      <c r="AA351" s="1298"/>
      <c r="AB351" s="1298"/>
      <c r="AC351" s="1298"/>
      <c r="AD351" s="1298"/>
      <c r="AE351" s="1298"/>
      <c r="AF351" s="1298"/>
      <c r="AG351" s="1298"/>
      <c r="AH351" s="1298"/>
      <c r="AI351" s="1298"/>
      <c r="AJ351" s="1298"/>
      <c r="AK351" s="1298"/>
    </row>
    <row r="352" spans="2:37">
      <c r="B352" s="2"/>
      <c r="F352" s="1298"/>
      <c r="G352" s="1298"/>
      <c r="H352" s="1298"/>
      <c r="I352" s="1298"/>
      <c r="J352" s="1298"/>
      <c r="K352" s="1298"/>
      <c r="L352" s="1298"/>
      <c r="M352" s="1298"/>
      <c r="N352" s="1298"/>
      <c r="O352" s="1298"/>
      <c r="P352" s="1298"/>
      <c r="Q352" s="1298"/>
      <c r="R352" s="1298"/>
      <c r="S352" s="1298"/>
      <c r="T352" s="1298"/>
      <c r="U352" s="1298"/>
      <c r="V352" s="1298"/>
      <c r="W352" s="1298"/>
      <c r="X352" s="1298"/>
      <c r="Y352" s="1298"/>
      <c r="Z352" s="1298"/>
      <c r="AA352" s="1298"/>
      <c r="AB352" s="1298"/>
      <c r="AC352" s="1298"/>
      <c r="AD352" s="1298"/>
      <c r="AE352" s="1298"/>
      <c r="AF352" s="1298"/>
      <c r="AG352" s="1298"/>
      <c r="AH352" s="1298"/>
      <c r="AI352" s="1298"/>
      <c r="AJ352" s="1298"/>
      <c r="AK352" s="1298"/>
    </row>
    <row r="353" spans="1:38">
      <c r="B353" s="2"/>
      <c r="F353" s="4"/>
      <c r="H353" s="4"/>
      <c r="I353" s="4"/>
      <c r="J353" s="4"/>
      <c r="K353" s="4"/>
      <c r="L353" s="4"/>
      <c r="M353" s="4"/>
      <c r="N353" s="4"/>
      <c r="O353" s="4"/>
      <c r="P353" s="4"/>
      <c r="Q353" s="4"/>
      <c r="R353" s="4"/>
      <c r="S353" s="4"/>
    </row>
    <row r="354" spans="1:38">
      <c r="A354" s="5"/>
      <c r="B354" s="11" t="s">
        <v>380</v>
      </c>
      <c r="C354" s="11" t="s">
        <v>170</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381</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115</v>
      </c>
      <c r="E358" s="2" t="s">
        <v>382</v>
      </c>
      <c r="I358" s="4"/>
      <c r="J358" s="4"/>
      <c r="K358" s="4"/>
      <c r="L358" s="4"/>
      <c r="M358" s="4"/>
      <c r="N358" s="4"/>
      <c r="O358" s="4"/>
      <c r="P358" s="4"/>
      <c r="Q358" s="4"/>
      <c r="R358" s="4"/>
      <c r="S358" s="4"/>
    </row>
    <row r="359" spans="1:38">
      <c r="B359" s="2"/>
      <c r="E359" t="s">
        <v>130</v>
      </c>
      <c r="F359" s="4" t="s">
        <v>383</v>
      </c>
      <c r="I359" s="4"/>
      <c r="J359" s="4"/>
      <c r="K359" s="4"/>
      <c r="L359" s="4"/>
      <c r="M359" s="4"/>
      <c r="N359" s="4"/>
      <c r="O359" s="4"/>
      <c r="P359" s="4"/>
      <c r="Q359" s="4"/>
      <c r="R359" s="4"/>
      <c r="S359" s="4"/>
    </row>
    <row r="360" spans="1:38">
      <c r="B360" s="2"/>
      <c r="F360" s="4" t="s">
        <v>384</v>
      </c>
      <c r="I360" s="4"/>
      <c r="J360" s="4"/>
      <c r="K360" s="4"/>
      <c r="L360" s="4"/>
      <c r="M360" s="4"/>
      <c r="N360" s="4"/>
      <c r="O360" s="4"/>
      <c r="P360" s="4"/>
      <c r="Q360" s="4"/>
      <c r="R360" s="4"/>
      <c r="S360" s="4"/>
    </row>
    <row r="361" spans="1:38">
      <c r="B361" s="2"/>
      <c r="F361" s="4" t="s">
        <v>385</v>
      </c>
      <c r="G361" s="4"/>
      <c r="K361" s="4"/>
      <c r="L361" s="4"/>
      <c r="M361" s="4"/>
      <c r="N361" s="4"/>
      <c r="O361" s="4"/>
      <c r="P361" s="4"/>
      <c r="Q361" s="4"/>
      <c r="R361" s="4"/>
      <c r="S361" s="4"/>
    </row>
    <row r="362" spans="1:38">
      <c r="B362" s="2"/>
      <c r="E362" t="s">
        <v>143</v>
      </c>
      <c r="F362" s="4" t="s">
        <v>386</v>
      </c>
      <c r="I362" s="4"/>
      <c r="J362" s="4"/>
      <c r="K362" s="4"/>
      <c r="L362" s="4"/>
      <c r="M362" s="4"/>
      <c r="N362" s="4"/>
      <c r="O362" s="4"/>
      <c r="P362" s="4"/>
      <c r="Q362" s="4"/>
      <c r="R362" s="4"/>
      <c r="S362" s="4"/>
    </row>
    <row r="363" spans="1:38">
      <c r="B363" s="2"/>
      <c r="E363" t="s">
        <v>151</v>
      </c>
      <c r="F363" s="4" t="s">
        <v>387</v>
      </c>
      <c r="I363" s="4"/>
      <c r="J363" s="4"/>
      <c r="K363" s="4"/>
      <c r="L363" s="4"/>
      <c r="M363" s="4"/>
      <c r="N363" s="4"/>
      <c r="O363" s="4"/>
      <c r="P363" s="4"/>
      <c r="Q363" s="4"/>
      <c r="R363" s="4"/>
      <c r="S363" s="4"/>
    </row>
    <row r="364" spans="1:38">
      <c r="B364" s="2"/>
      <c r="F364" s="4" t="s">
        <v>388</v>
      </c>
      <c r="J364" s="4"/>
      <c r="K364" s="4"/>
      <c r="L364" s="4"/>
      <c r="M364" s="4"/>
      <c r="N364" s="4"/>
      <c r="O364" s="4"/>
      <c r="P364" s="4"/>
      <c r="Q364" s="4"/>
      <c r="R364" s="4"/>
      <c r="S364" s="4"/>
    </row>
    <row r="365" spans="1:38">
      <c r="B365" s="2"/>
      <c r="E365" s="1297" t="s">
        <v>389</v>
      </c>
      <c r="F365" s="1298"/>
      <c r="G365" s="1298"/>
      <c r="H365" s="1298"/>
      <c r="I365" s="1298"/>
      <c r="J365" s="1298"/>
      <c r="K365" s="1298"/>
      <c r="L365" s="1298"/>
      <c r="M365" s="1298"/>
      <c r="N365" s="1298"/>
      <c r="O365" s="1298"/>
      <c r="P365" s="1298"/>
      <c r="Q365" s="1298"/>
      <c r="R365" s="1298"/>
      <c r="S365" s="1298"/>
      <c r="T365" s="1298"/>
      <c r="U365" s="1298"/>
      <c r="V365" s="1298"/>
      <c r="W365" s="1298"/>
      <c r="X365" s="1298"/>
      <c r="Y365" s="1298"/>
      <c r="Z365" s="1298"/>
      <c r="AA365" s="1298"/>
      <c r="AB365" s="1298"/>
      <c r="AC365" s="1298"/>
      <c r="AD365" s="1298"/>
      <c r="AE365" s="1298"/>
      <c r="AF365" s="1298"/>
      <c r="AG365" s="1298"/>
      <c r="AH365" s="1298"/>
      <c r="AI365" s="1298"/>
      <c r="AJ365" s="1298"/>
      <c r="AK365" s="1298"/>
      <c r="AL365" s="1298"/>
    </row>
    <row r="366" spans="1:38">
      <c r="B366" s="2"/>
      <c r="E366" s="1298"/>
      <c r="F366" s="1298"/>
      <c r="G366" s="1298"/>
      <c r="H366" s="1298"/>
      <c r="I366" s="1298"/>
      <c r="J366" s="1298"/>
      <c r="K366" s="1298"/>
      <c r="L366" s="1298"/>
      <c r="M366" s="1298"/>
      <c r="N366" s="1298"/>
      <c r="O366" s="1298"/>
      <c r="P366" s="1298"/>
      <c r="Q366" s="1298"/>
      <c r="R366" s="1298"/>
      <c r="S366" s="1298"/>
      <c r="T366" s="1298"/>
      <c r="U366" s="1298"/>
      <c r="V366" s="1298"/>
      <c r="W366" s="1298"/>
      <c r="X366" s="1298"/>
      <c r="Y366" s="1298"/>
      <c r="Z366" s="1298"/>
      <c r="AA366" s="1298"/>
      <c r="AB366" s="1298"/>
      <c r="AC366" s="1298"/>
      <c r="AD366" s="1298"/>
      <c r="AE366" s="1298"/>
      <c r="AF366" s="1298"/>
      <c r="AG366" s="1298"/>
      <c r="AH366" s="1298"/>
      <c r="AI366" s="1298"/>
      <c r="AJ366" s="1298"/>
      <c r="AK366" s="1298"/>
      <c r="AL366" s="1298"/>
    </row>
    <row r="367" spans="1:38" s="1301" customFormat="1">
      <c r="A367" s="1261"/>
      <c r="B367" s="2"/>
      <c r="C367" s="1261"/>
      <c r="D367" s="1261"/>
      <c r="E367" s="1300" t="s">
        <v>390</v>
      </c>
    </row>
    <row r="368" spans="1:38" s="1301" customFormat="1">
      <c r="A368" s="1261"/>
      <c r="B368" s="2"/>
      <c r="C368" s="2"/>
      <c r="D368" s="1261"/>
    </row>
    <row r="369" spans="2:37">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2:37">
      <c r="B370" s="2"/>
      <c r="D370" s="2" t="s">
        <v>128</v>
      </c>
      <c r="E370" s="2" t="s">
        <v>391</v>
      </c>
      <c r="J370" s="4"/>
      <c r="K370" s="4"/>
      <c r="L370" s="4"/>
      <c r="M370" s="4"/>
      <c r="N370" s="4"/>
      <c r="O370" s="4"/>
      <c r="P370" s="4"/>
      <c r="Q370" s="4"/>
      <c r="R370" s="4"/>
      <c r="S370" s="4"/>
    </row>
    <row r="371" spans="2:37">
      <c r="B371" s="2"/>
      <c r="E371" s="4" t="s">
        <v>392</v>
      </c>
      <c r="F371" s="4"/>
      <c r="G371" s="4"/>
      <c r="H371" s="4"/>
      <c r="I371" s="4"/>
      <c r="J371" s="4"/>
      <c r="K371" s="4"/>
      <c r="L371" s="4"/>
      <c r="M371" s="4"/>
      <c r="N371" s="4"/>
      <c r="O371" s="4"/>
      <c r="P371" s="4"/>
      <c r="Q371" s="4"/>
      <c r="R371" s="4"/>
      <c r="S371" s="4"/>
    </row>
    <row r="372" spans="2:37">
      <c r="B372" s="2"/>
      <c r="E372" s="4" t="s">
        <v>393</v>
      </c>
      <c r="F372" s="4"/>
      <c r="G372" s="4"/>
      <c r="H372" s="4"/>
      <c r="I372" s="4"/>
      <c r="J372" s="4"/>
      <c r="K372" s="4"/>
      <c r="L372" s="4"/>
      <c r="M372" s="4"/>
      <c r="N372" s="4"/>
      <c r="O372" s="4"/>
      <c r="P372" s="4"/>
      <c r="Q372" s="4"/>
      <c r="R372" s="4"/>
      <c r="S372" s="4"/>
    </row>
    <row r="373" spans="2:37">
      <c r="B373" s="2"/>
      <c r="E373" s="4"/>
      <c r="F373" s="4"/>
      <c r="G373" s="4"/>
      <c r="H373" s="4"/>
      <c r="I373" s="4"/>
      <c r="J373" s="4"/>
      <c r="K373" s="4"/>
      <c r="L373" s="4"/>
      <c r="M373" s="4"/>
      <c r="N373" s="4"/>
      <c r="O373" s="4"/>
      <c r="P373" s="4"/>
      <c r="Q373" s="4"/>
      <c r="R373" s="4"/>
      <c r="S373" s="4"/>
    </row>
    <row r="374" spans="2:37">
      <c r="B374" s="2"/>
      <c r="D374" s="2" t="s">
        <v>206</v>
      </c>
      <c r="E374" s="2" t="s">
        <v>394</v>
      </c>
      <c r="J374" s="4"/>
      <c r="K374" s="4"/>
      <c r="L374" s="4"/>
      <c r="M374" s="4"/>
      <c r="N374" s="4"/>
      <c r="O374" s="4"/>
      <c r="P374" s="4"/>
      <c r="Q374" s="4"/>
      <c r="R374" s="4"/>
      <c r="S374" s="4"/>
    </row>
    <row r="375" spans="2:37">
      <c r="B375" s="2"/>
      <c r="E375" s="4" t="s">
        <v>130</v>
      </c>
      <c r="F375" s="4" t="s">
        <v>395</v>
      </c>
      <c r="G375" s="4"/>
      <c r="I375" s="4"/>
      <c r="J375" s="4"/>
      <c r="K375" s="4"/>
      <c r="L375" s="4"/>
      <c r="M375" s="4"/>
      <c r="N375" s="4"/>
      <c r="O375" s="4"/>
      <c r="P375" s="4"/>
      <c r="Q375" s="4"/>
      <c r="R375" s="4"/>
      <c r="S375" s="4"/>
    </row>
    <row r="376" spans="2:37">
      <c r="B376" s="2"/>
      <c r="E376" s="4"/>
      <c r="F376" s="120" t="s">
        <v>396</v>
      </c>
      <c r="G376" s="4"/>
      <c r="I376" s="120"/>
      <c r="J376" s="4"/>
      <c r="K376" s="4"/>
      <c r="L376" s="4"/>
      <c r="M376" s="4"/>
      <c r="N376" s="4"/>
      <c r="O376" s="4"/>
      <c r="P376" s="4"/>
      <c r="Q376" s="4"/>
      <c r="R376" s="4"/>
      <c r="S376" s="4"/>
    </row>
    <row r="377" spans="2:37">
      <c r="B377" s="2"/>
      <c r="E377" s="4" t="s">
        <v>143</v>
      </c>
      <c r="F377" s="4" t="s">
        <v>397</v>
      </c>
      <c r="G377" s="4"/>
      <c r="I377" s="120"/>
      <c r="J377" s="4"/>
      <c r="K377" s="4"/>
      <c r="L377" s="4"/>
      <c r="M377" s="4"/>
      <c r="N377" s="4"/>
      <c r="O377" s="4"/>
      <c r="P377" s="4"/>
      <c r="Q377" s="4"/>
      <c r="R377" s="4"/>
      <c r="S377" s="4"/>
    </row>
    <row r="378" spans="2:37">
      <c r="B378" s="2"/>
      <c r="E378" s="4"/>
      <c r="F378" s="4"/>
      <c r="G378" s="4"/>
      <c r="I378" s="120"/>
      <c r="J378" s="4"/>
      <c r="K378" s="4"/>
      <c r="L378" s="4"/>
      <c r="M378" s="4"/>
      <c r="N378" s="4"/>
      <c r="O378" s="4"/>
      <c r="P378" s="4"/>
      <c r="Q378" s="4"/>
      <c r="R378" s="4"/>
      <c r="S378" s="4"/>
    </row>
    <row r="379" spans="2:37">
      <c r="B379" s="2"/>
      <c r="D379" s="2" t="s">
        <v>211</v>
      </c>
      <c r="E379" s="2" t="s">
        <v>398</v>
      </c>
      <c r="J379" s="3"/>
      <c r="K379" s="3"/>
      <c r="L379" s="3"/>
      <c r="M379" s="3"/>
      <c r="N379" s="3"/>
      <c r="O379" s="3"/>
      <c r="P379" s="3"/>
      <c r="Q379" s="3"/>
      <c r="R379" s="3"/>
      <c r="S379" s="3"/>
    </row>
    <row r="380" spans="2:37">
      <c r="B380" s="2"/>
      <c r="D380" s="2"/>
      <c r="E380" s="3" t="s">
        <v>392</v>
      </c>
      <c r="F380" s="3"/>
      <c r="G380" s="3"/>
      <c r="J380" s="3"/>
      <c r="K380" s="3"/>
      <c r="L380" s="3"/>
      <c r="M380" s="3"/>
      <c r="N380" s="3"/>
      <c r="O380" s="3"/>
      <c r="P380" s="3"/>
      <c r="Q380" s="3"/>
      <c r="R380" s="3"/>
      <c r="S380" s="3"/>
    </row>
    <row r="381" spans="2:37">
      <c r="B381" s="2"/>
      <c r="D381" s="2"/>
      <c r="E381" s="3" t="s">
        <v>399</v>
      </c>
      <c r="F381" s="3"/>
      <c r="G381" s="3"/>
      <c r="J381" s="3"/>
      <c r="K381" s="3"/>
      <c r="L381" s="3"/>
      <c r="M381" s="3"/>
      <c r="N381" s="3"/>
      <c r="O381" s="3"/>
      <c r="P381" s="3"/>
      <c r="Q381" s="3"/>
      <c r="R381" s="3"/>
      <c r="S381" s="3"/>
    </row>
    <row r="382" spans="2:37">
      <c r="B382" s="2"/>
      <c r="D382" s="2"/>
      <c r="E382" s="3"/>
      <c r="F382" s="3"/>
      <c r="G382" s="3"/>
      <c r="J382" s="3"/>
      <c r="K382" s="3"/>
      <c r="L382" s="3"/>
      <c r="M382" s="3"/>
      <c r="N382" s="3"/>
      <c r="O382" s="3"/>
      <c r="P382" s="3"/>
      <c r="Q382" s="3"/>
      <c r="R382" s="3"/>
      <c r="S382" s="3"/>
    </row>
    <row r="383" spans="2:37" s="169" customFormat="1">
      <c r="B383" s="2"/>
      <c r="D383" s="2" t="s">
        <v>214</v>
      </c>
      <c r="E383" s="2" t="s">
        <v>400</v>
      </c>
      <c r="J383" s="3"/>
      <c r="K383" s="3"/>
      <c r="L383" s="3"/>
      <c r="M383" s="3"/>
      <c r="N383" s="3"/>
      <c r="O383" s="3"/>
      <c r="P383" s="3"/>
      <c r="Q383" s="3"/>
      <c r="R383" s="3"/>
      <c r="S383" s="3"/>
    </row>
    <row r="384" spans="2:37" s="169" customFormat="1">
      <c r="B384" s="2"/>
      <c r="E384" s="3" t="s">
        <v>130</v>
      </c>
      <c r="F384" s="3" t="s">
        <v>401</v>
      </c>
      <c r="G384" s="3"/>
      <c r="I384" s="3"/>
      <c r="J384" s="3"/>
      <c r="K384" s="3"/>
      <c r="L384" s="3"/>
      <c r="M384" s="3"/>
      <c r="N384" s="3"/>
      <c r="O384" s="3"/>
      <c r="P384" s="3"/>
      <c r="Q384" s="3"/>
      <c r="R384" s="3"/>
      <c r="S384" s="3"/>
    </row>
    <row r="385" spans="2:38" s="169" customFormat="1">
      <c r="B385" s="2"/>
      <c r="E385" s="3"/>
      <c r="F385" s="120" t="s">
        <v>396</v>
      </c>
      <c r="G385" s="3"/>
      <c r="I385" s="3"/>
      <c r="J385" s="3"/>
      <c r="K385" s="3"/>
      <c r="L385" s="3"/>
      <c r="M385" s="3"/>
      <c r="N385" s="3"/>
      <c r="O385" s="3"/>
      <c r="P385" s="3"/>
      <c r="Q385" s="3"/>
      <c r="R385" s="3"/>
      <c r="S385" s="3"/>
    </row>
    <row r="386" spans="2:38">
      <c r="B386" s="2"/>
      <c r="E386" s="3" t="s">
        <v>143</v>
      </c>
      <c r="F386" s="1299" t="s">
        <v>402</v>
      </c>
      <c r="G386" s="1298"/>
      <c r="H386" s="1298"/>
      <c r="I386" s="1298"/>
      <c r="J386" s="1298"/>
      <c r="K386" s="1298"/>
      <c r="L386" s="1298"/>
      <c r="M386" s="1298"/>
      <c r="N386" s="1298"/>
      <c r="O386" s="1298"/>
      <c r="P386" s="1298"/>
      <c r="Q386" s="1298"/>
      <c r="R386" s="1298"/>
      <c r="S386" s="1298"/>
      <c r="T386" s="1298"/>
      <c r="U386" s="1298"/>
      <c r="V386" s="1298"/>
      <c r="W386" s="1298"/>
      <c r="X386" s="1298"/>
      <c r="Y386" s="1298"/>
      <c r="Z386" s="1298"/>
      <c r="AA386" s="1298"/>
      <c r="AB386" s="1298"/>
      <c r="AC386" s="1298"/>
      <c r="AD386" s="1298"/>
      <c r="AE386" s="1298"/>
      <c r="AF386" s="1298"/>
      <c r="AG386" s="1298"/>
      <c r="AH386" s="1298"/>
      <c r="AI386" s="1298"/>
      <c r="AJ386" s="1298"/>
      <c r="AK386" s="1298"/>
    </row>
    <row r="387" spans="2:38">
      <c r="B387" s="2"/>
      <c r="E387" s="3"/>
      <c r="F387" s="1298"/>
      <c r="G387" s="1298"/>
      <c r="H387" s="1298"/>
      <c r="I387" s="1298"/>
      <c r="J387" s="1298"/>
      <c r="K387" s="1298"/>
      <c r="L387" s="1298"/>
      <c r="M387" s="1298"/>
      <c r="N387" s="1298"/>
      <c r="O387" s="1298"/>
      <c r="P387" s="1298"/>
      <c r="Q387" s="1298"/>
      <c r="R387" s="1298"/>
      <c r="S387" s="1298"/>
      <c r="T387" s="1298"/>
      <c r="U387" s="1298"/>
      <c r="V387" s="1298"/>
      <c r="W387" s="1298"/>
      <c r="X387" s="1298"/>
      <c r="Y387" s="1298"/>
      <c r="Z387" s="1298"/>
      <c r="AA387" s="1298"/>
      <c r="AB387" s="1298"/>
      <c r="AC387" s="1298"/>
      <c r="AD387" s="1298"/>
      <c r="AE387" s="1298"/>
      <c r="AF387" s="1298"/>
      <c r="AG387" s="1298"/>
      <c r="AH387" s="1298"/>
      <c r="AI387" s="1298"/>
      <c r="AJ387" s="1298"/>
      <c r="AK387" s="1298"/>
    </row>
    <row r="388" spans="2:38">
      <c r="B388" s="2"/>
      <c r="E388" s="3"/>
      <c r="F388" s="1298"/>
      <c r="G388" s="1298"/>
      <c r="H388" s="1298"/>
      <c r="I388" s="1298"/>
      <c r="J388" s="1298"/>
      <c r="K388" s="1298"/>
      <c r="L388" s="1298"/>
      <c r="M388" s="1298"/>
      <c r="N388" s="1298"/>
      <c r="O388" s="1298"/>
      <c r="P388" s="1298"/>
      <c r="Q388" s="1298"/>
      <c r="R388" s="1298"/>
      <c r="S388" s="1298"/>
      <c r="T388" s="1298"/>
      <c r="U388" s="1298"/>
      <c r="V388" s="1298"/>
      <c r="W388" s="1298"/>
      <c r="X388" s="1298"/>
      <c r="Y388" s="1298"/>
      <c r="Z388" s="1298"/>
      <c r="AA388" s="1298"/>
      <c r="AB388" s="1298"/>
      <c r="AC388" s="1298"/>
      <c r="AD388" s="1298"/>
      <c r="AE388" s="1298"/>
      <c r="AF388" s="1298"/>
      <c r="AG388" s="1298"/>
      <c r="AH388" s="1298"/>
      <c r="AI388" s="1298"/>
      <c r="AJ388" s="1298"/>
      <c r="AK388" s="1298"/>
    </row>
    <row r="389" spans="2: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2:38">
      <c r="B390" s="2"/>
      <c r="C390" s="2"/>
      <c r="D390" s="2" t="s">
        <v>218</v>
      </c>
      <c r="E390" s="2" t="s">
        <v>403</v>
      </c>
      <c r="F390" s="3"/>
      <c r="G390" s="2"/>
      <c r="I390" s="120"/>
      <c r="J390" s="3"/>
      <c r="K390" s="3"/>
      <c r="L390" s="3"/>
      <c r="M390" s="3"/>
      <c r="N390" s="3"/>
      <c r="O390" s="3"/>
      <c r="P390" s="3"/>
      <c r="Q390" s="3"/>
      <c r="R390" s="3"/>
      <c r="S390" s="3"/>
    </row>
    <row r="391" spans="2:38" ht="13.2" customHeight="1">
      <c r="B391" s="2"/>
      <c r="D391" s="2"/>
      <c r="E391" s="3" t="s">
        <v>404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2:38">
      <c r="B392" s="2"/>
      <c r="E392" t="s">
        <v>399</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2:38" s="169" customFormat="1">
      <c r="B393" s="2"/>
      <c r="S393" s="4"/>
    </row>
    <row r="394" spans="2:38" s="169" customFormat="1" hidden="1">
      <c r="B394" s="2"/>
      <c r="S394" s="4"/>
    </row>
    <row r="395" spans="2:38" hidden="1">
      <c r="B395" s="2"/>
      <c r="S395" s="4"/>
    </row>
    <row r="396" spans="2:38" hidden="1">
      <c r="B396" s="2"/>
      <c r="S396" s="4"/>
    </row>
    <row r="397" spans="2:38" hidden="1">
      <c r="B397" s="2"/>
      <c r="S397" s="4"/>
    </row>
    <row r="398" spans="2:38" hidden="1">
      <c r="B398" s="2"/>
      <c r="S398" s="4"/>
    </row>
    <row r="399" spans="2:38" hidden="1">
      <c r="B399" s="2"/>
      <c r="S399" s="4"/>
    </row>
    <row r="400" spans="2: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sheetData>
  <sheetProtection algorithmName="SHA-512" hashValue="N+4DDhxDR5GlfrfDg+WQ0r7BZfwrHvEs4jg3Y6hWNGNG4NVTTZcT/ppROTxp3udo7tQ03VFh4jqW9m6jKmG+Uw==" saltValue="KurwxsTw2aYGCrMqkctaIw==" spinCount="100000" sheet="1" objects="1" scenarios="1"/>
  <mergeCells count="35">
    <mergeCell ref="D15:AK17"/>
    <mergeCell ref="G70:AK71"/>
    <mergeCell ref="E31:AK31"/>
    <mergeCell ref="G88:AK90"/>
    <mergeCell ref="G84:AK86"/>
    <mergeCell ref="E35:AK35"/>
    <mergeCell ref="F48:AK50"/>
    <mergeCell ref="G67:AK68"/>
    <mergeCell ref="G80:AK82"/>
    <mergeCell ref="F43:AL45"/>
    <mergeCell ref="G56:I56"/>
    <mergeCell ref="A1:AL2"/>
    <mergeCell ref="G72:AK73"/>
    <mergeCell ref="G57:AL58"/>
    <mergeCell ref="F350:AK352"/>
    <mergeCell ref="D33:AK34"/>
    <mergeCell ref="G92:AK93"/>
    <mergeCell ref="F40:XFD41"/>
    <mergeCell ref="F336:AK338"/>
    <mergeCell ref="D20:AK28"/>
    <mergeCell ref="E36:AK36"/>
    <mergeCell ref="G205:AK206"/>
    <mergeCell ref="D30:AK30"/>
    <mergeCell ref="G54:AK54"/>
    <mergeCell ref="J18:AK18"/>
    <mergeCell ref="D11:AK13"/>
    <mergeCell ref="D7:AK9"/>
    <mergeCell ref="E365:AL366"/>
    <mergeCell ref="F346:AK349"/>
    <mergeCell ref="G95:AK97"/>
    <mergeCell ref="G64:AK66"/>
    <mergeCell ref="F386:AK388"/>
    <mergeCell ref="E367:XFD368"/>
    <mergeCell ref="E341:AK345"/>
    <mergeCell ref="E98:AK99"/>
  </mergeCells>
  <hyperlinks>
    <hyperlink ref="J18" r:id="rId1" xr:uid="{00000000-0004-0000-0000-000000000000}"/>
    <hyperlink ref="E31" r:id="rId2" xr:uid="{00000000-0004-0000-0000-000001000000}"/>
    <hyperlink ref="E35" r:id="rId3" xr:uid="{00000000-0004-0000-0000-000002000000}"/>
    <hyperlink ref="E36" r:id="rId4" xr:uid="{00000000-0004-0000-0000-000003000000}"/>
  </hyperlinks>
  <pageMargins left="0.75" right="0.75" top="0.75" bottom="0.75" header="0.5" footer="0.5"/>
  <pageSetup scale="89" fitToHeight="10" orientation="portrait" r:id="rId5"/>
  <rowBreaks count="7" manualBreakCount="7">
    <brk id="59" max="67" man="1"/>
    <brk id="100" max="67" man="1"/>
    <brk id="160" max="67" man="1"/>
    <brk id="220" max="67" man="1"/>
    <brk id="279" max="67" man="1"/>
    <brk id="328" max="67" man="1"/>
    <brk id="353" max="67" man="1"/>
  </rowBreaks>
  <legacy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C103" zoomScaleNormal="100" workbookViewId="0">
      <selection activeCell="Q45" sqref="Q45"/>
    </sheetView>
  </sheetViews>
  <sheetFormatPr defaultColWidth="9.109375" defaultRowHeight="13.8"/>
  <cols>
    <col min="1" max="1" width="2.44140625" style="1038" customWidth="1"/>
    <col min="2" max="9" width="14.6640625" style="1038" customWidth="1"/>
    <col min="10" max="10" width="2.33203125" style="1038" customWidth="1"/>
    <col min="11" max="11" width="11.88671875" style="1039" customWidth="1"/>
    <col min="12" max="12" width="10.6640625" style="1038" customWidth="1"/>
    <col min="13" max="13" width="10.44140625" style="1038" customWidth="1"/>
    <col min="14" max="14" width="10.88671875" style="1038" customWidth="1"/>
    <col min="15" max="18" width="9.109375" style="1038" customWidth="1"/>
    <col min="19" max="19" width="9.44140625" style="1038" bestFit="1" customWidth="1"/>
    <col min="20" max="20" width="9.109375" style="1038" customWidth="1"/>
    <col min="21" max="16384" width="9.109375" style="1038"/>
  </cols>
  <sheetData>
    <row r="1" spans="1:13" ht="30" customHeight="1">
      <c r="A1" s="1277" t="s">
        <v>0</v>
      </c>
      <c r="B1" s="1270"/>
      <c r="C1" s="1270"/>
      <c r="D1" s="1270"/>
      <c r="E1" s="1270"/>
      <c r="F1" s="1270"/>
      <c r="G1" s="1270"/>
      <c r="H1" s="1270"/>
      <c r="I1" s="1270"/>
      <c r="J1" s="1270"/>
    </row>
    <row r="2" spans="1:13" ht="15" customHeight="1" thickBot="1">
      <c r="A2" s="1040"/>
      <c r="B2" s="1040"/>
      <c r="I2" s="1041"/>
      <c r="K2" s="1042"/>
    </row>
    <row r="3" spans="1:13" s="1045" customFormat="1" ht="20.100000000000001" customHeight="1">
      <c r="A3" s="1092"/>
      <c r="B3" s="1093"/>
      <c r="C3" s="1094"/>
      <c r="D3" s="1099"/>
      <c r="E3" s="1094"/>
      <c r="F3" s="1095" t="s">
        <v>1</v>
      </c>
      <c r="G3" s="1094"/>
      <c r="H3" s="1096">
        <f>E18</f>
        <v>29384890</v>
      </c>
      <c r="I3" s="1097"/>
    </row>
    <row r="4" spans="1:13" s="1045" customFormat="1" ht="20.100000000000001" customHeight="1">
      <c r="B4" s="1086"/>
      <c r="D4" s="1100"/>
      <c r="F4" s="1085" t="s">
        <v>2</v>
      </c>
      <c r="G4" s="1084" t="s">
        <v>3</v>
      </c>
      <c r="H4" s="1196">
        <f>I18</f>
        <v>8290366.0714285718</v>
      </c>
      <c r="I4" s="1087"/>
      <c r="K4" s="1049"/>
    </row>
    <row r="5" spans="1:13" s="1045" customFormat="1" ht="20.100000000000001" customHeight="1" thickBot="1">
      <c r="B5" s="1088"/>
      <c r="C5" s="1089"/>
      <c r="D5" s="1101"/>
      <c r="E5" s="1090"/>
      <c r="F5" s="1101" t="s">
        <v>4</v>
      </c>
      <c r="G5" s="1102"/>
      <c r="H5" s="1098">
        <f>IFERROR(H3/H4,0)</f>
        <v>3.5444623007987972</v>
      </c>
      <c r="I5" s="1091"/>
      <c r="K5" s="1049"/>
    </row>
    <row r="6" spans="1:13" s="1045" customFormat="1" ht="15" customHeight="1">
      <c r="B6" s="1046"/>
      <c r="C6" s="1047"/>
      <c r="F6" s="1048"/>
      <c r="K6" s="1049"/>
    </row>
    <row r="7" spans="1:13" s="1045" customFormat="1" ht="15" customHeight="1">
      <c r="E7" s="1048"/>
      <c r="F7" s="1048"/>
      <c r="K7" s="1050"/>
    </row>
    <row r="8" spans="1:13" s="1045" customFormat="1" ht="15" customHeight="1">
      <c r="A8" s="1051"/>
      <c r="B8" s="1282" t="s">
        <v>5</v>
      </c>
      <c r="C8" s="1263"/>
      <c r="D8" s="1263"/>
      <c r="E8" s="1264"/>
      <c r="G8" s="1289" t="s">
        <v>6</v>
      </c>
      <c r="H8" s="1263"/>
      <c r="I8" s="1264"/>
      <c r="K8" s="1050"/>
    </row>
    <row r="9" spans="1:13" ht="15" customHeight="1">
      <c r="A9" s="1040"/>
      <c r="B9" s="1291" t="s">
        <v>7</v>
      </c>
      <c r="C9" s="1263"/>
      <c r="D9" s="1264"/>
      <c r="E9" s="1052">
        <f>G33</f>
        <v>4237500</v>
      </c>
      <c r="G9" s="1273" t="s">
        <v>8</v>
      </c>
      <c r="H9" s="1264"/>
      <c r="I9" s="1053">
        <f>MAX(SUMIF(Application!M562:M573,"Loan, Tax-Exempt",Application!AM562:AM573),27.5%*SUM('Sources and Uses Budget'!C8,'Sources and Uses Budget'!S105,'Sources and Uses Budget'!T105))</f>
        <v>8475000</v>
      </c>
      <c r="K9" s="1054"/>
      <c r="M9" s="1055"/>
    </row>
    <row r="10" spans="1:13" ht="15" customHeight="1" thickBot="1">
      <c r="A10" s="1040"/>
      <c r="B10" s="1291" t="s">
        <v>9</v>
      </c>
      <c r="C10" s="1263"/>
      <c r="D10" s="1264"/>
      <c r="E10" s="1053">
        <f>G47</f>
        <v>18800640</v>
      </c>
      <c r="G10" s="1290" t="s">
        <v>10</v>
      </c>
      <c r="H10" s="1279"/>
      <c r="I10" s="1132">
        <f>IF(OR(Application!Z205="State Farmworker Credit",Application!Z205="$500M (Farmworker Housing)"),0,'Basis &amp; Credits'!AB78)</f>
        <v>0</v>
      </c>
      <c r="M10" s="1055"/>
    </row>
    <row r="11" spans="1:13" ht="15" customHeight="1">
      <c r="A11" s="1040"/>
      <c r="B11" s="1291" t="s">
        <v>11</v>
      </c>
      <c r="C11" s="1263"/>
      <c r="D11" s="1264"/>
      <c r="E11" s="1053">
        <f>SUM(E13,E12)</f>
        <v>160000</v>
      </c>
      <c r="G11" s="1295" t="s">
        <v>12</v>
      </c>
      <c r="H11" s="1296"/>
      <c r="I11" s="1131">
        <f>I9+I10</f>
        <v>8475000</v>
      </c>
      <c r="M11" s="1055"/>
    </row>
    <row r="12" spans="1:13" ht="15" customHeight="1">
      <c r="A12" s="1056"/>
      <c r="B12" s="1262" t="s">
        <v>13</v>
      </c>
      <c r="C12" s="1263"/>
      <c r="D12" s="1264"/>
      <c r="E12" s="1156">
        <f>G56</f>
        <v>160000</v>
      </c>
      <c r="M12" s="1055"/>
    </row>
    <row r="13" spans="1:13" ht="15" customHeight="1">
      <c r="A13" s="1043"/>
      <c r="B13" s="1262" t="s">
        <v>14</v>
      </c>
      <c r="C13" s="1263"/>
      <c r="D13" s="1264"/>
      <c r="E13" s="1156">
        <f>IF(G67,MAX(G65,G79),G65)</f>
        <v>0</v>
      </c>
      <c r="G13" s="1289" t="s">
        <v>15</v>
      </c>
      <c r="H13" s="1263"/>
      <c r="I13" s="1264"/>
    </row>
    <row r="14" spans="1:13" ht="15" customHeight="1">
      <c r="A14" s="1043"/>
      <c r="B14" s="1291" t="s">
        <v>16</v>
      </c>
      <c r="C14" s="1263"/>
      <c r="D14" s="1264"/>
      <c r="E14" s="1158">
        <f>MAX(E15,E16)+E17</f>
        <v>6186750</v>
      </c>
      <c r="G14" s="1273" t="s">
        <v>17</v>
      </c>
      <c r="H14" s="1264"/>
      <c r="I14" s="1057">
        <f>IF(AND(G134="Yes",G136&lt;&gt;""),IF(OR(G141="Yes",G145="Yes"),18%,15%),0)</f>
        <v>0</v>
      </c>
      <c r="M14" s="1055"/>
    </row>
    <row r="15" spans="1:13" ht="15" customHeight="1">
      <c r="A15" s="1043"/>
      <c r="B15" s="1262" t="s">
        <v>18</v>
      </c>
      <c r="C15" s="1263"/>
      <c r="D15" s="1264"/>
      <c r="E15" s="1156">
        <f>G94</f>
        <v>0</v>
      </c>
      <c r="G15" s="1129" t="s">
        <v>19</v>
      </c>
      <c r="H15" s="1129"/>
      <c r="I15" s="1057">
        <f>IF(Application!AJ1041&gt;0,10%,IF(Application!AJ1045&gt;0,5%,0))</f>
        <v>0</v>
      </c>
      <c r="M15" s="1055"/>
    </row>
    <row r="16" spans="1:13" ht="15" customHeight="1">
      <c r="A16" s="1043"/>
      <c r="B16" s="1262" t="s">
        <v>20</v>
      </c>
      <c r="C16" s="1263"/>
      <c r="D16" s="1264"/>
      <c r="E16" s="1156">
        <f>G104</f>
        <v>1695000</v>
      </c>
      <c r="G16" s="1273" t="s">
        <v>21</v>
      </c>
      <c r="H16" s="1264"/>
      <c r="I16" s="1057">
        <f>G155</f>
        <v>2.1785714285714287E-2</v>
      </c>
    </row>
    <row r="17" spans="1:21" ht="15" customHeight="1" thickBot="1">
      <c r="A17" s="1043"/>
      <c r="B17" s="1262" t="s">
        <v>22</v>
      </c>
      <c r="C17" s="1263"/>
      <c r="D17" s="1264"/>
      <c r="E17" s="1156">
        <f>G129</f>
        <v>4491750</v>
      </c>
      <c r="G17" s="1273" t="s">
        <v>23</v>
      </c>
      <c r="H17" s="1264"/>
      <c r="I17" s="1057">
        <f>IF(AND(G161="Yes",G159),IF(G165&gt;15%,15%,G165),0)</f>
        <v>0</v>
      </c>
    </row>
    <row r="18" spans="1:21" ht="15" customHeight="1">
      <c r="A18" s="1040"/>
      <c r="B18" s="1287" t="s">
        <v>24</v>
      </c>
      <c r="C18" s="1288"/>
      <c r="D18" s="1272"/>
      <c r="E18" s="1103">
        <f>SUM(E9:E11,E14)</f>
        <v>29384890</v>
      </c>
      <c r="G18" s="1130" t="s">
        <v>25</v>
      </c>
      <c r="H18" s="1130"/>
      <c r="I18" s="1104">
        <f>I11-((I11*I14)+(I11*I15)+(I11*I16)+(I11*I17))</f>
        <v>8290366.0714285718</v>
      </c>
      <c r="M18" s="1058">
        <f>SUM(Cdlac[Quantity])</f>
        <v>64</v>
      </c>
      <c r="O18" s="1077" t="s">
        <v>26</v>
      </c>
      <c r="P18" s="1038">
        <f>MATCH(Application!T189,Application!CB160:CB217,0)</f>
        <v>19</v>
      </c>
      <c r="T18" s="1058">
        <f>SUM(Cdlac[Population])</f>
        <v>0</v>
      </c>
    </row>
    <row r="19" spans="1:21" ht="15" customHeight="1">
      <c r="A19" s="1040"/>
      <c r="B19" s="1040"/>
      <c r="C19" s="1040"/>
      <c r="D19" s="1040"/>
      <c r="E19" s="1040"/>
      <c r="L19" s="1038" t="s">
        <v>27</v>
      </c>
      <c r="M19" s="1038" t="s">
        <v>28</v>
      </c>
      <c r="N19" s="1038" t="s">
        <v>29</v>
      </c>
      <c r="O19" s="1038" t="s">
        <v>30</v>
      </c>
      <c r="P19" s="1038" t="s">
        <v>31</v>
      </c>
      <c r="Q19" s="1038" t="s">
        <v>32</v>
      </c>
      <c r="R19" s="1038" t="s">
        <v>33</v>
      </c>
      <c r="S19" s="1038" t="s">
        <v>34</v>
      </c>
      <c r="T19" s="1038" t="s">
        <v>35</v>
      </c>
      <c r="U19" s="1038" t="s">
        <v>36</v>
      </c>
    </row>
    <row r="20" spans="1:21" ht="15" customHeight="1">
      <c r="B20" s="1059" t="str">
        <f>B9</f>
        <v>A. Unit Production Benefit</v>
      </c>
      <c r="C20" s="1060"/>
      <c r="D20" s="1060"/>
      <c r="E20" s="1060"/>
      <c r="F20" s="1060"/>
      <c r="G20" s="1060"/>
      <c r="H20" s="1060"/>
      <c r="I20" s="1061"/>
      <c r="L20" s="1038">
        <f>IFERROR(MIN(4,MATCH(Application!B726,UnitSizes,0)-1),"")</f>
        <v>1</v>
      </c>
      <c r="M20" s="1058">
        <f>Application!G726</f>
        <v>1</v>
      </c>
      <c r="N20" s="1064">
        <f>Application!AC726</f>
        <v>0.3</v>
      </c>
      <c r="O20" s="1064">
        <f>IF(Cdlac[[#This Row],[Quantity]]&gt;0,IF(Cdlac[[#This Row],[Federal]],30%,IF(AND(OR(NOT($G$38),$G$38=""),$G$43),40%,Cdlac[[#This Row],[iAMI]])),"")</f>
        <v>0.3</v>
      </c>
      <c r="P20" s="1058">
        <f t="array" ref="P20">IF(Cdlac[[#This Row],[Quantity]]&gt;0,INDEX(TcacRents,$P$18,Cdlac[[#This Row],[Bedrooms]]+1)*Cdlac[[#This Row],[AMI]],"")</f>
        <v>852</v>
      </c>
      <c r="Q20" s="1155">
        <v>831</v>
      </c>
      <c r="R20" s="1058">
        <f t="array" ref="R20">IF(Cdlac[[#This Row],[Quantity]]&gt;0,INDEX(HudFmrs,$P$18,Cdlac[[#This Row],[Bedrooms]]+1),"")</f>
        <v>2081</v>
      </c>
      <c r="S20" s="1058">
        <f>IF(Cdlac[[#This Row],[Quantity]]&gt;0,MAX(0,Cdlac[[#This Row],[Fair Market Rent]]-IF(AND($G$37,$G$38,$G$38&lt;&gt;"",NOT(Cdlac[[#This Row],[Federal]]),Cdlac[[#This Row],[Preservation Rent]]&lt;&gt;""),Cdlac[[#This Row],[Preservation Rent]],Cdlac[[#This Row],[Restricted Rent]])),"")</f>
        <v>1250</v>
      </c>
      <c r="T20" s="1038">
        <f>IF(Cdlac[[#This Row],[Quantity]]&gt;0,AND(Application!AK726&lt;&gt;"N/A",Application!AK726&lt;&gt;"")*Cdlac[[#This Row],[Quantity]],"")</f>
        <v>0</v>
      </c>
      <c r="U20" s="1038" t="b">
        <f>AND('Subsidy Contract Calculation'!F4&gt;0,OR('Subsidy Contract Calculation'!C4="Federal",'Subsidy Contract Calculation'!C4="Local - Approved by ED"),Cdlac[[#This Row],[Quantity]]&gt;0)</f>
        <v>0</v>
      </c>
    </row>
    <row r="21" spans="1:21" ht="15" customHeight="1">
      <c r="A21" s="1040"/>
      <c r="B21" s="1040"/>
      <c r="I21" s="1062"/>
      <c r="L21" s="1038">
        <f>IFERROR(MIN(4,MATCH(Application!B727,UnitSizes,0)-1),"")</f>
        <v>1</v>
      </c>
      <c r="M21" s="1058">
        <f>Application!G727</f>
        <v>1</v>
      </c>
      <c r="N21" s="1064">
        <f>Application!AC727</f>
        <v>0.45</v>
      </c>
      <c r="O21" s="1064">
        <f>IF(Cdlac[[#This Row],[Quantity]]&gt;0,IF(Cdlac[[#This Row],[Federal]],30%,IF(AND(OR(NOT($G$38),$G$38=""),$G$43),40%,Cdlac[[#This Row],[iAMI]])),"")</f>
        <v>0.45</v>
      </c>
      <c r="P21" s="1058">
        <f t="array" ref="P21">IF(Cdlac[[#This Row],[Quantity]]&gt;0,INDEX(TcacRents,$P$18,Cdlac[[#This Row],[Bedrooms]]+1)*Cdlac[[#This Row],[AMI]],"")</f>
        <v>1278</v>
      </c>
      <c r="Q21" s="1155">
        <v>1117</v>
      </c>
      <c r="R21" s="1058">
        <f t="array" ref="R21">IF(Cdlac[[#This Row],[Quantity]]&gt;0,INDEX(HudFmrs,$P$18,Cdlac[[#This Row],[Bedrooms]]+1),"")</f>
        <v>2081</v>
      </c>
      <c r="S21" s="1058">
        <f>IF(Cdlac[[#This Row],[Quantity]]&gt;0,MAX(0,Cdlac[[#This Row],[Fair Market Rent]]-IF(AND($G$37,$G$38,$G$38&lt;&gt;"",NOT(Cdlac[[#This Row],[Federal]]),Cdlac[[#This Row],[Preservation Rent]]&lt;&gt;""),Cdlac[[#This Row],[Preservation Rent]],Cdlac[[#This Row],[Restricted Rent]])),"")</f>
        <v>964</v>
      </c>
      <c r="T21" s="1038">
        <f>IF(Cdlac[[#This Row],[Quantity]]&gt;0,AND(Application!AK727&lt;&gt;"N/A",Application!AK727&lt;&gt;"")*Cdlac[[#This Row],[Quantity]],"")</f>
        <v>0</v>
      </c>
      <c r="U21" s="1038" t="b">
        <f>AND('Subsidy Contract Calculation'!F5&gt;0,OR('Subsidy Contract Calculation'!C5="Federal",'Subsidy Contract Calculation'!C5="Local - Approved by ED"),Cdlac[[#This Row],[Quantity]]&gt;0)</f>
        <v>0</v>
      </c>
    </row>
    <row r="22" spans="1:21" ht="15" customHeight="1">
      <c r="A22" s="1043"/>
      <c r="C22" s="1274" t="s">
        <v>37</v>
      </c>
      <c r="D22" s="1274" t="s">
        <v>38</v>
      </c>
      <c r="E22" s="1274" t="s">
        <v>39</v>
      </c>
      <c r="F22" s="1274" t="s">
        <v>40</v>
      </c>
      <c r="G22" s="1274" t="s">
        <v>41</v>
      </c>
      <c r="H22" s="1063"/>
      <c r="I22" s="1062"/>
      <c r="L22" s="1038">
        <f>IFERROR(MIN(4,MATCH(Application!B728,UnitSizes,0)-1),"")</f>
        <v>1</v>
      </c>
      <c r="M22" s="1058">
        <f>Application!G728</f>
        <v>1</v>
      </c>
      <c r="N22" s="1064">
        <f>Application!AC728</f>
        <v>0.6</v>
      </c>
      <c r="O22" s="1064">
        <f>IF(Cdlac[[#This Row],[Quantity]]&gt;0,IF(Cdlac[[#This Row],[Federal]],30%,IF(AND(OR(NOT($G$38),$G$38=""),$G$43),40%,Cdlac[[#This Row],[iAMI]])),"")</f>
        <v>0.6</v>
      </c>
      <c r="P22" s="1058">
        <f t="array" ref="P22">IF(Cdlac[[#This Row],[Quantity]]&gt;0,INDEX(TcacRents,$P$18,Cdlac[[#This Row],[Bedrooms]]+1)*Cdlac[[#This Row],[AMI]],"")</f>
        <v>1704</v>
      </c>
      <c r="Q22" s="1155">
        <v>1704</v>
      </c>
      <c r="R22" s="1058">
        <f t="array" ref="R22">IF(Cdlac[[#This Row],[Quantity]]&gt;0,INDEX(HudFmrs,$P$18,Cdlac[[#This Row],[Bedrooms]]+1),"")</f>
        <v>2081</v>
      </c>
      <c r="S22" s="1058">
        <f>IF(Cdlac[[#This Row],[Quantity]]&gt;0,MAX(0,Cdlac[[#This Row],[Fair Market Rent]]-IF(AND($G$37,$G$38,$G$38&lt;&gt;"",NOT(Cdlac[[#This Row],[Federal]]),Cdlac[[#This Row],[Preservation Rent]]&lt;&gt;""),Cdlac[[#This Row],[Preservation Rent]],Cdlac[[#This Row],[Restricted Rent]])),"")</f>
        <v>377</v>
      </c>
      <c r="T22" s="1038">
        <f>IF(Cdlac[[#This Row],[Quantity]]&gt;0,AND(Application!AK728&lt;&gt;"N/A",Application!AK728&lt;&gt;"")*Cdlac[[#This Row],[Quantity]],"")</f>
        <v>0</v>
      </c>
      <c r="U22" s="1038" t="b">
        <f>AND('Subsidy Contract Calculation'!F6&gt;0,OR('Subsidy Contract Calculation'!C6="Federal",'Subsidy Contract Calculation'!C6="Local - Approved by ED"),Cdlac[[#This Row],[Quantity]]&gt;0)</f>
        <v>0</v>
      </c>
    </row>
    <row r="23" spans="1:21" ht="15" customHeight="1">
      <c r="A23" s="1043"/>
      <c r="C23" s="1275"/>
      <c r="D23" s="1275"/>
      <c r="E23" s="1275"/>
      <c r="F23" s="1275"/>
      <c r="G23" s="1275"/>
      <c r="H23" s="1063"/>
      <c r="I23" s="1062"/>
      <c r="L23" s="1038">
        <f>IFERROR(MIN(4,MATCH(Application!B729,UnitSizes,0)-1),"")</f>
        <v>1</v>
      </c>
      <c r="M23" s="1058">
        <f>Application!G729</f>
        <v>1</v>
      </c>
      <c r="N23" s="1064">
        <f>Application!AC729</f>
        <v>0.3</v>
      </c>
      <c r="O23" s="1064">
        <f>IF(Cdlac[[#This Row],[Quantity]]&gt;0,IF(Cdlac[[#This Row],[Federal]],30%,IF(AND(OR(NOT($G$38),$G$38=""),$G$43),40%,Cdlac[[#This Row],[iAMI]])),"")</f>
        <v>0.3</v>
      </c>
      <c r="P23" s="1058">
        <f t="array" ref="P23">IF(Cdlac[[#This Row],[Quantity]]&gt;0,INDEX(TcacRents,$P$18,Cdlac[[#This Row],[Bedrooms]]+1)*Cdlac[[#This Row],[AMI]],"")</f>
        <v>852</v>
      </c>
      <c r="Q23" s="1155">
        <v>657</v>
      </c>
      <c r="R23" s="1058">
        <f t="array" ref="R23">IF(Cdlac[[#This Row],[Quantity]]&gt;0,INDEX(HudFmrs,$P$18,Cdlac[[#This Row],[Bedrooms]]+1),"")</f>
        <v>2081</v>
      </c>
      <c r="S23" s="1058">
        <f>IF(Cdlac[[#This Row],[Quantity]]&gt;0,MAX(0,Cdlac[[#This Row],[Fair Market Rent]]-IF(AND($G$37,$G$38,$G$38&lt;&gt;"",NOT(Cdlac[[#This Row],[Federal]]),Cdlac[[#This Row],[Preservation Rent]]&lt;&gt;""),Cdlac[[#This Row],[Preservation Rent]],Cdlac[[#This Row],[Restricted Rent]])),"")</f>
        <v>1424</v>
      </c>
      <c r="T23" s="1038">
        <f>IF(Cdlac[[#This Row],[Quantity]]&gt;0,AND(Application!AK729&lt;&gt;"N/A",Application!AK729&lt;&gt;"")*Cdlac[[#This Row],[Quantity]],"")</f>
        <v>0</v>
      </c>
      <c r="U23" s="1038" t="b">
        <f>AND('Subsidy Contract Calculation'!F7&gt;0,OR('Subsidy Contract Calculation'!C7="Federal",'Subsidy Contract Calculation'!C7="Local - Approved by ED"),Cdlac[[#This Row],[Quantity]]&gt;0)</f>
        <v>0</v>
      </c>
    </row>
    <row r="24" spans="1:21" ht="15" customHeight="1">
      <c r="C24" s="1065">
        <v>0</v>
      </c>
      <c r="D24" s="1066">
        <v>0.9</v>
      </c>
      <c r="E24" s="1065">
        <f>SUMIFS(Cdlac[Quantity],Cdlac[Bedrooms],C24)</f>
        <v>0</v>
      </c>
      <c r="F24" s="1065">
        <f>E24</f>
        <v>0</v>
      </c>
      <c r="G24" s="1065">
        <f>D24*F24</f>
        <v>0</v>
      </c>
      <c r="L24" s="1038">
        <f>IFERROR(MIN(4,MATCH(Application!B730,UnitSizes,0)-1),"")</f>
        <v>1</v>
      </c>
      <c r="M24" s="1058">
        <f>Application!G730</f>
        <v>1</v>
      </c>
      <c r="N24" s="1064">
        <f>Application!AC730</f>
        <v>0.5</v>
      </c>
      <c r="O24" s="1064">
        <f>IF(Cdlac[[#This Row],[Quantity]]&gt;0,IF(Cdlac[[#This Row],[Federal]],30%,IF(AND(OR(NOT($G$38),$G$38=""),$G$43),40%,Cdlac[[#This Row],[iAMI]])),"")</f>
        <v>0.5</v>
      </c>
      <c r="P24" s="1058">
        <f t="array" ref="P24">IF(Cdlac[[#This Row],[Quantity]]&gt;0,INDEX(TcacRents,$P$18,Cdlac[[#This Row],[Bedrooms]]+1)*Cdlac[[#This Row],[AMI]],"")</f>
        <v>1420</v>
      </c>
      <c r="Q24" s="1155">
        <v>1420</v>
      </c>
      <c r="R24" s="1058">
        <f t="array" ref="R24">IF(Cdlac[[#This Row],[Quantity]]&gt;0,INDEX(HudFmrs,$P$18,Cdlac[[#This Row],[Bedrooms]]+1),"")</f>
        <v>2081</v>
      </c>
      <c r="S24" s="1058">
        <f>IF(Cdlac[[#This Row],[Quantity]]&gt;0,MAX(0,Cdlac[[#This Row],[Fair Market Rent]]-IF(AND($G$37,$G$38,$G$38&lt;&gt;"",NOT(Cdlac[[#This Row],[Federal]]),Cdlac[[#This Row],[Preservation Rent]]&lt;&gt;""),Cdlac[[#This Row],[Preservation Rent]],Cdlac[[#This Row],[Restricted Rent]])),"")</f>
        <v>661</v>
      </c>
      <c r="T24" s="1038">
        <f>IF(Cdlac[[#This Row],[Quantity]]&gt;0,AND(Application!AK730&lt;&gt;"N/A",Application!AK730&lt;&gt;"")*Cdlac[[#This Row],[Quantity]],"")</f>
        <v>0</v>
      </c>
      <c r="U24" s="1038" t="b">
        <f>AND('Subsidy Contract Calculation'!F8&gt;0,OR('Subsidy Contract Calculation'!C8="Federal",'Subsidy Contract Calculation'!C8="Local - Approved by ED"),Cdlac[[#This Row],[Quantity]]&gt;0)</f>
        <v>0</v>
      </c>
    </row>
    <row r="25" spans="1:21" ht="15" customHeight="1">
      <c r="C25" s="1065">
        <v>1</v>
      </c>
      <c r="D25" s="1066">
        <v>1</v>
      </c>
      <c r="E25" s="1065">
        <f>SUMIFS(Cdlac[Quantity],Cdlac[Bedrooms],C25)</f>
        <v>12</v>
      </c>
      <c r="F25" s="1065">
        <f>E25</f>
        <v>12</v>
      </c>
      <c r="G25" s="1065">
        <f>D25*F25</f>
        <v>12</v>
      </c>
      <c r="L25" s="1038">
        <f>IFERROR(MIN(4,MATCH(Application!B731,UnitSizes,0)-1),"")</f>
        <v>1</v>
      </c>
      <c r="M25" s="1058">
        <f>Application!G731</f>
        <v>4</v>
      </c>
      <c r="N25" s="1064">
        <f>Application!AC731</f>
        <v>0.6</v>
      </c>
      <c r="O25" s="1064">
        <f>IF(Cdlac[[#This Row],[Quantity]]&gt;0,IF(Cdlac[[#This Row],[Federal]],30%,IF(AND(OR(NOT($G$38),$G$38=""),$G$43),40%,Cdlac[[#This Row],[iAMI]])),"")</f>
        <v>0.6</v>
      </c>
      <c r="P25" s="1058">
        <f t="array" ref="P25">IF(Cdlac[[#This Row],[Quantity]]&gt;0,INDEX(TcacRents,$P$18,Cdlac[[#This Row],[Bedrooms]]+1)*Cdlac[[#This Row],[AMI]],"")</f>
        <v>1704</v>
      </c>
      <c r="Q25" s="1155">
        <v>1669</v>
      </c>
      <c r="R25" s="1058">
        <f t="array" ref="R25">IF(Cdlac[[#This Row],[Quantity]]&gt;0,INDEX(HudFmrs,$P$18,Cdlac[[#This Row],[Bedrooms]]+1),"")</f>
        <v>2081</v>
      </c>
      <c r="S25" s="1058">
        <f>IF(Cdlac[[#This Row],[Quantity]]&gt;0,MAX(0,Cdlac[[#This Row],[Fair Market Rent]]-IF(AND($G$37,$G$38,$G$38&lt;&gt;"",NOT(Cdlac[[#This Row],[Federal]]),Cdlac[[#This Row],[Preservation Rent]]&lt;&gt;""),Cdlac[[#This Row],[Preservation Rent]],Cdlac[[#This Row],[Restricted Rent]])),"")</f>
        <v>412</v>
      </c>
      <c r="T25" s="1038">
        <f>IF(Cdlac[[#This Row],[Quantity]]&gt;0,AND(Application!AK731&lt;&gt;"N/A",Application!AK731&lt;&gt;"")*Cdlac[[#This Row],[Quantity]],"")</f>
        <v>0</v>
      </c>
      <c r="U25" s="1038" t="b">
        <f>AND('Subsidy Contract Calculation'!F9&gt;0,OR('Subsidy Contract Calculation'!C9="Federal",'Subsidy Contract Calculation'!C9="Local - Approved by ED"),Cdlac[[#This Row],[Quantity]]&gt;0)</f>
        <v>0</v>
      </c>
    </row>
    <row r="26" spans="1:21" ht="15" customHeight="1">
      <c r="A26" s="1067"/>
      <c r="C26" s="1068">
        <v>2</v>
      </c>
      <c r="D26" s="1066">
        <v>1.25</v>
      </c>
      <c r="E26" s="1065">
        <f>SUMIFS(Cdlac[Quantity],Cdlac[Bedrooms],C26)</f>
        <v>18</v>
      </c>
      <c r="F26" s="1068">
        <f>SUM(E26:E28)-SUM(F27:F28)</f>
        <v>27</v>
      </c>
      <c r="G26" s="1065">
        <f>D26*F26</f>
        <v>33.75</v>
      </c>
      <c r="H26" s="1067"/>
      <c r="I26" s="1067"/>
      <c r="L26" s="1038">
        <f>IFERROR(MIN(4,MATCH(Application!B732,UnitSizes,0)-1),"")</f>
        <v>1</v>
      </c>
      <c r="M26" s="1058">
        <f>Application!G732</f>
        <v>1</v>
      </c>
      <c r="N26" s="1064">
        <f>Application!AC732</f>
        <v>0.45</v>
      </c>
      <c r="O26" s="1064">
        <f>IF(Cdlac[[#This Row],[Quantity]]&gt;0,IF(Cdlac[[#This Row],[Federal]],30%,IF(AND(OR(NOT($G$38),$G$38=""),$G$43),40%,Cdlac[[#This Row],[iAMI]])),"")</f>
        <v>0.45</v>
      </c>
      <c r="P26" s="1058">
        <f t="array" ref="P26">IF(Cdlac[[#This Row],[Quantity]]&gt;0,INDEX(TcacRents,$P$18,Cdlac[[#This Row],[Bedrooms]]+1)*Cdlac[[#This Row],[AMI]],"")</f>
        <v>1278</v>
      </c>
      <c r="Q26" s="1155">
        <v>1126</v>
      </c>
      <c r="R26" s="1058">
        <f t="array" ref="R26">IF(Cdlac[[#This Row],[Quantity]]&gt;0,INDEX(HudFmrs,$P$18,Cdlac[[#This Row],[Bedrooms]]+1),"")</f>
        <v>2081</v>
      </c>
      <c r="S26" s="1058">
        <f>IF(Cdlac[[#This Row],[Quantity]]&gt;0,MAX(0,Cdlac[[#This Row],[Fair Market Rent]]-IF(AND($G$37,$G$38,$G$38&lt;&gt;"",NOT(Cdlac[[#This Row],[Federal]]),Cdlac[[#This Row],[Preservation Rent]]&lt;&gt;""),Cdlac[[#This Row],[Preservation Rent]],Cdlac[[#This Row],[Restricted Rent]])),"")</f>
        <v>955</v>
      </c>
      <c r="T26" s="1038">
        <f>IF(Cdlac[[#This Row],[Quantity]]&gt;0,AND(Application!AK732&lt;&gt;"N/A",Application!AK732&lt;&gt;"")*Cdlac[[#This Row],[Quantity]],"")</f>
        <v>0</v>
      </c>
      <c r="U26" s="1038" t="b">
        <f>AND('Subsidy Contract Calculation'!F10&gt;0,OR('Subsidy Contract Calculation'!C10="Federal",'Subsidy Contract Calculation'!C10="Local - Approved by ED"),Cdlac[[#This Row],[Quantity]]&gt;0)</f>
        <v>0</v>
      </c>
    </row>
    <row r="27" spans="1:21" ht="15" customHeight="1">
      <c r="A27" s="1067"/>
      <c r="C27" s="1068">
        <v>3</v>
      </c>
      <c r="D27" s="1066">
        <f>1.5+0.25*0</f>
        <v>1.5</v>
      </c>
      <c r="E27" s="1065">
        <f>SUMIFS(Cdlac[Quantity],Cdlac[Bedrooms],C27)</f>
        <v>28</v>
      </c>
      <c r="F27" s="1068">
        <f>MIN(E27,ROUNDDOWN(E29*30%,0))</f>
        <v>19</v>
      </c>
      <c r="G27" s="1065">
        <f>D27*F27</f>
        <v>28.5</v>
      </c>
      <c r="H27" s="1067"/>
      <c r="I27" s="1067"/>
      <c r="L27" s="1038">
        <f>IFERROR(MIN(4,MATCH(Application!B733,UnitSizes,0)-1),"")</f>
        <v>1</v>
      </c>
      <c r="M27" s="1058">
        <f>Application!G733</f>
        <v>2</v>
      </c>
      <c r="N27" s="1064">
        <f>Application!AC733</f>
        <v>0.4</v>
      </c>
      <c r="O27" s="1064">
        <f>IF(Cdlac[[#This Row],[Quantity]]&gt;0,IF(Cdlac[[#This Row],[Federal]],30%,IF(AND(OR(NOT($G$38),$G$38=""),$G$43),40%,Cdlac[[#This Row],[iAMI]])),"")</f>
        <v>0.4</v>
      </c>
      <c r="P27" s="1058">
        <f t="array" ref="P27">IF(Cdlac[[#This Row],[Quantity]]&gt;0,INDEX(TcacRents,$P$18,Cdlac[[#This Row],[Bedrooms]]+1)*Cdlac[[#This Row],[AMI]],"")</f>
        <v>1136</v>
      </c>
      <c r="Q27" s="1155">
        <v>755</v>
      </c>
      <c r="R27" s="1058">
        <f t="array" ref="R27">IF(Cdlac[[#This Row],[Quantity]]&gt;0,INDEX(HudFmrs,$P$18,Cdlac[[#This Row],[Bedrooms]]+1),"")</f>
        <v>2081</v>
      </c>
      <c r="S27" s="1058">
        <f>IF(Cdlac[[#This Row],[Quantity]]&gt;0,MAX(0,Cdlac[[#This Row],[Fair Market Rent]]-IF(AND($G$37,$G$38,$G$38&lt;&gt;"",NOT(Cdlac[[#This Row],[Federal]]),Cdlac[[#This Row],[Preservation Rent]]&lt;&gt;""),Cdlac[[#This Row],[Preservation Rent]],Cdlac[[#This Row],[Restricted Rent]])),"")</f>
        <v>1326</v>
      </c>
      <c r="T27" s="1038">
        <f>IF(Cdlac[[#This Row],[Quantity]]&gt;0,AND(Application!AK733&lt;&gt;"N/A",Application!AK733&lt;&gt;"")*Cdlac[[#This Row],[Quantity]],"")</f>
        <v>0</v>
      </c>
      <c r="U27" s="1038" t="b">
        <f>AND('Subsidy Contract Calculation'!F11&gt;0,OR('Subsidy Contract Calculation'!C11="Federal",'Subsidy Contract Calculation'!C11="Local - Approved by ED"),Cdlac[[#This Row],[Quantity]]&gt;0)</f>
        <v>0</v>
      </c>
    </row>
    <row r="28" spans="1:21" ht="15" customHeight="1" thickBot="1">
      <c r="A28" s="1067"/>
      <c r="C28" s="1079">
        <v>4</v>
      </c>
      <c r="D28" s="1080">
        <f>1.75+0.25*0</f>
        <v>1.75</v>
      </c>
      <c r="E28" s="1081">
        <f>SUMIFS(Cdlac[Quantity],Cdlac[Bedrooms],C28)</f>
        <v>6</v>
      </c>
      <c r="F28" s="1079">
        <f>MIN(E28,ROUNDDOWN(E29*10%,0))</f>
        <v>6</v>
      </c>
      <c r="G28" s="1081">
        <f>D28*F28</f>
        <v>10.5</v>
      </c>
      <c r="H28" s="1067"/>
      <c r="I28" s="1067"/>
      <c r="L28" s="1038">
        <f>IFERROR(MIN(4,MATCH(Application!B734,UnitSizes,0)-1),"")</f>
        <v>2</v>
      </c>
      <c r="M28" s="1058">
        <f>Application!G734</f>
        <v>1</v>
      </c>
      <c r="N28" s="1064">
        <f>Application!AC734</f>
        <v>0.3</v>
      </c>
      <c r="O28" s="1064">
        <f>IF(Cdlac[[#This Row],[Quantity]]&gt;0,IF(Cdlac[[#This Row],[Federal]],30%,IF(AND(OR(NOT($G$38),$G$38=""),$G$43),40%,Cdlac[[#This Row],[iAMI]])),"")</f>
        <v>0.3</v>
      </c>
      <c r="P28" s="1058">
        <f t="array" ref="P28">IF(Cdlac[[#This Row],[Quantity]]&gt;0,INDEX(TcacRents,$P$18,Cdlac[[#This Row],[Bedrooms]]+1)*Cdlac[[#This Row],[AMI]],"")</f>
        <v>1021.8</v>
      </c>
      <c r="Q28" s="1155">
        <v>1022</v>
      </c>
      <c r="R28" s="1058">
        <f t="array" ref="R28">IF(Cdlac[[#This Row],[Quantity]]&gt;0,INDEX(HudFmrs,$P$18,Cdlac[[#This Row],[Bedrooms]]+1),"")</f>
        <v>2625</v>
      </c>
      <c r="S28" s="1058">
        <f>IF(Cdlac[[#This Row],[Quantity]]&gt;0,MAX(0,Cdlac[[#This Row],[Fair Market Rent]]-IF(AND($G$37,$G$38,$G$38&lt;&gt;"",NOT(Cdlac[[#This Row],[Federal]]),Cdlac[[#This Row],[Preservation Rent]]&lt;&gt;""),Cdlac[[#This Row],[Preservation Rent]],Cdlac[[#This Row],[Restricted Rent]])),"")</f>
        <v>1603</v>
      </c>
      <c r="T28" s="1038">
        <f>IF(Cdlac[[#This Row],[Quantity]]&gt;0,AND(Application!AK734&lt;&gt;"N/A",Application!AK734&lt;&gt;"")*Cdlac[[#This Row],[Quantity]],"")</f>
        <v>0</v>
      </c>
      <c r="U28" s="1038" t="b">
        <f>AND('Subsidy Contract Calculation'!F12&gt;0,OR('Subsidy Contract Calculation'!C12="Federal",'Subsidy Contract Calculation'!C12="Local - Approved by ED"),Cdlac[[#This Row],[Quantity]]&gt;0)</f>
        <v>0</v>
      </c>
    </row>
    <row r="29" spans="1:21" ht="15" customHeight="1">
      <c r="A29" s="1067"/>
      <c r="C29" s="1276" t="s">
        <v>42</v>
      </c>
      <c r="D29" s="1272"/>
      <c r="E29" s="1082">
        <f>SUM(E24:E28)</f>
        <v>64</v>
      </c>
      <c r="F29" s="1082">
        <f>SUM(F24:F28)</f>
        <v>64</v>
      </c>
      <c r="G29" s="1083">
        <f>SUMPRODUCT(D24:D28,F24:F28)</f>
        <v>84.75</v>
      </c>
      <c r="H29" s="1067"/>
      <c r="I29" s="1067"/>
      <c r="L29" s="1038">
        <f>IFERROR(MIN(4,MATCH(Application!B735,UnitSizes,0)-1),"")</f>
        <v>2</v>
      </c>
      <c r="M29" s="1058">
        <f>Application!G735</f>
        <v>1</v>
      </c>
      <c r="N29" s="1064">
        <f>Application!AC735</f>
        <v>0.35</v>
      </c>
      <c r="O29" s="1064">
        <f>IF(Cdlac[[#This Row],[Quantity]]&gt;0,IF(Cdlac[[#This Row],[Federal]],30%,IF(AND(OR(NOT($G$38),$G$38=""),$G$43),40%,Cdlac[[#This Row],[iAMI]])),"")</f>
        <v>0.35</v>
      </c>
      <c r="P29" s="1058">
        <f t="array" ref="P29">IF(Cdlac[[#This Row],[Quantity]]&gt;0,INDEX(TcacRents,$P$18,Cdlac[[#This Row],[Bedrooms]]+1)*Cdlac[[#This Row],[AMI]],"")</f>
        <v>1192.0999999999999</v>
      </c>
      <c r="Q29" s="1155">
        <v>1192</v>
      </c>
      <c r="R29" s="1058">
        <f t="array" ref="R29">IF(Cdlac[[#This Row],[Quantity]]&gt;0,INDEX(HudFmrs,$P$18,Cdlac[[#This Row],[Bedrooms]]+1),"")</f>
        <v>2625</v>
      </c>
      <c r="S29" s="1058">
        <f>IF(Cdlac[[#This Row],[Quantity]]&gt;0,MAX(0,Cdlac[[#This Row],[Fair Market Rent]]-IF(AND($G$37,$G$38,$G$38&lt;&gt;"",NOT(Cdlac[[#This Row],[Federal]]),Cdlac[[#This Row],[Preservation Rent]]&lt;&gt;""),Cdlac[[#This Row],[Preservation Rent]],Cdlac[[#This Row],[Restricted Rent]])),"")</f>
        <v>1433</v>
      </c>
      <c r="T29" s="1038">
        <f>IF(Cdlac[[#This Row],[Quantity]]&gt;0,AND(Application!AK735&lt;&gt;"N/A",Application!AK735&lt;&gt;"")*Cdlac[[#This Row],[Quantity]],"")</f>
        <v>0</v>
      </c>
      <c r="U29" s="1038" t="b">
        <f>AND('Subsidy Contract Calculation'!F13&gt;0,OR('Subsidy Contract Calculation'!C13="Federal",'Subsidy Contract Calculation'!C13="Local - Approved by ED"),Cdlac[[#This Row],[Quantity]]&gt;0)</f>
        <v>0</v>
      </c>
    </row>
    <row r="30" spans="1:21" ht="15" customHeight="1">
      <c r="A30" s="1067"/>
      <c r="C30" s="1067"/>
      <c r="D30" s="1067"/>
      <c r="E30" s="1067"/>
      <c r="F30" s="1067"/>
      <c r="G30" s="1067"/>
      <c r="H30" s="1067"/>
      <c r="I30" s="1067"/>
      <c r="L30" s="1038">
        <f>IFERROR(MIN(4,MATCH(Application!B736,UnitSizes,0)-1),"")</f>
        <v>2</v>
      </c>
      <c r="M30" s="1058">
        <f>Application!G736</f>
        <v>1</v>
      </c>
      <c r="N30" s="1064">
        <f>Application!AC736</f>
        <v>0.3</v>
      </c>
      <c r="O30" s="1064">
        <f>IF(Cdlac[[#This Row],[Quantity]]&gt;0,IF(Cdlac[[#This Row],[Federal]],30%,IF(AND(OR(NOT($G$38),$G$38=""),$G$43),40%,Cdlac[[#This Row],[iAMI]])),"")</f>
        <v>0.3</v>
      </c>
      <c r="P30" s="1058">
        <f t="array" ref="P30">IF(Cdlac[[#This Row],[Quantity]]&gt;0,INDEX(TcacRents,$P$18,Cdlac[[#This Row],[Bedrooms]]+1)*Cdlac[[#This Row],[AMI]],"")</f>
        <v>1021.8</v>
      </c>
      <c r="Q30" s="1155">
        <v>790</v>
      </c>
      <c r="R30" s="1058">
        <f t="array" ref="R30">IF(Cdlac[[#This Row],[Quantity]]&gt;0,INDEX(HudFmrs,$P$18,Cdlac[[#This Row],[Bedrooms]]+1),"")</f>
        <v>2625</v>
      </c>
      <c r="S30" s="1058">
        <f>IF(Cdlac[[#This Row],[Quantity]]&gt;0,MAX(0,Cdlac[[#This Row],[Fair Market Rent]]-IF(AND($G$37,$G$38,$G$38&lt;&gt;"",NOT(Cdlac[[#This Row],[Federal]]),Cdlac[[#This Row],[Preservation Rent]]&lt;&gt;""),Cdlac[[#This Row],[Preservation Rent]],Cdlac[[#This Row],[Restricted Rent]])),"")</f>
        <v>1835</v>
      </c>
      <c r="T30" s="1038">
        <f>IF(Cdlac[[#This Row],[Quantity]]&gt;0,AND(Application!AK736&lt;&gt;"N/A",Application!AK736&lt;&gt;"")*Cdlac[[#This Row],[Quantity]],"")</f>
        <v>0</v>
      </c>
      <c r="U30" s="1038" t="b">
        <f>AND('Subsidy Contract Calculation'!F14&gt;0,OR('Subsidy Contract Calculation'!C14="Federal",'Subsidy Contract Calculation'!C14="Local - Approved by ED"),Cdlac[[#This Row],[Quantity]]&gt;0)</f>
        <v>0</v>
      </c>
    </row>
    <row r="31" spans="1:21" ht="15" customHeight="1">
      <c r="A31" s="1067"/>
      <c r="E31" s="1109" t="s">
        <v>41</v>
      </c>
      <c r="G31" s="1106">
        <f>G29</f>
        <v>84.75</v>
      </c>
      <c r="H31" s="1067"/>
      <c r="I31" s="1067"/>
      <c r="L31" s="1038">
        <f>IFERROR(MIN(4,MATCH(Application!B737,UnitSizes,0)-1),"")</f>
        <v>2</v>
      </c>
      <c r="M31" s="1058">
        <f>Application!G737</f>
        <v>7</v>
      </c>
      <c r="N31" s="1064">
        <f>Application!AC737</f>
        <v>0.4</v>
      </c>
      <c r="O31" s="1064">
        <f>IF(Cdlac[[#This Row],[Quantity]]&gt;0,IF(Cdlac[[#This Row],[Federal]],30%,IF(AND(OR(NOT($G$38),$G$38=""),$G$43),40%,Cdlac[[#This Row],[iAMI]])),"")</f>
        <v>0.4</v>
      </c>
      <c r="P31" s="1058">
        <f t="array" ref="P31">IF(Cdlac[[#This Row],[Quantity]]&gt;0,INDEX(TcacRents,$P$18,Cdlac[[#This Row],[Bedrooms]]+1)*Cdlac[[#This Row],[AMI]],"")</f>
        <v>1362.4</v>
      </c>
      <c r="Q31" s="1155">
        <v>863</v>
      </c>
      <c r="R31" s="1058">
        <f t="array" ref="R31">IF(Cdlac[[#This Row],[Quantity]]&gt;0,INDEX(HudFmrs,$P$18,Cdlac[[#This Row],[Bedrooms]]+1),"")</f>
        <v>2625</v>
      </c>
      <c r="S31" s="1058">
        <f>IF(Cdlac[[#This Row],[Quantity]]&gt;0,MAX(0,Cdlac[[#This Row],[Fair Market Rent]]-IF(AND($G$37,$G$38,$G$38&lt;&gt;"",NOT(Cdlac[[#This Row],[Federal]]),Cdlac[[#This Row],[Preservation Rent]]&lt;&gt;""),Cdlac[[#This Row],[Preservation Rent]],Cdlac[[#This Row],[Restricted Rent]])),"")</f>
        <v>1762</v>
      </c>
      <c r="T31" s="1038">
        <f>IF(Cdlac[[#This Row],[Quantity]]&gt;0,AND(Application!AK737&lt;&gt;"N/A",Application!AK737&lt;&gt;"")*Cdlac[[#This Row],[Quantity]],"")</f>
        <v>0</v>
      </c>
      <c r="U31" s="1038" t="b">
        <f>AND('Subsidy Contract Calculation'!F15&gt;0,OR('Subsidy Contract Calculation'!C15="Federal",'Subsidy Contract Calculation'!C15="Local - Approved by ED"),Cdlac[[#This Row],[Quantity]]&gt;0)</f>
        <v>0</v>
      </c>
    </row>
    <row r="32" spans="1:21" ht="15" customHeight="1">
      <c r="A32" s="1067"/>
      <c r="E32" s="1109" t="s">
        <v>43</v>
      </c>
      <c r="F32" s="1105" t="s">
        <v>44</v>
      </c>
      <c r="G32" s="1107">
        <v>50000</v>
      </c>
      <c r="H32" s="1067"/>
      <c r="I32" s="1067"/>
      <c r="L32" s="1038">
        <f>IFERROR(MIN(4,MATCH(Application!B738,UnitSizes,0)-1),"")</f>
        <v>2</v>
      </c>
      <c r="M32" s="1058">
        <f>Application!G738</f>
        <v>3</v>
      </c>
      <c r="N32" s="1064">
        <f>Application!AC738</f>
        <v>0.5</v>
      </c>
      <c r="O32" s="1064">
        <f>IF(Cdlac[[#This Row],[Quantity]]&gt;0,IF(Cdlac[[#This Row],[Federal]],30%,IF(AND(OR(NOT($G$38),$G$38=""),$G$43),40%,Cdlac[[#This Row],[iAMI]])),"")</f>
        <v>0.5</v>
      </c>
      <c r="P32" s="1058">
        <f t="array" ref="P32">IF(Cdlac[[#This Row],[Quantity]]&gt;0,INDEX(TcacRents,$P$18,Cdlac[[#This Row],[Bedrooms]]+1)*Cdlac[[#This Row],[AMI]],"")</f>
        <v>1703</v>
      </c>
      <c r="Q32" s="1155">
        <v>1064</v>
      </c>
      <c r="R32" s="1058">
        <f t="array" ref="R32">IF(Cdlac[[#This Row],[Quantity]]&gt;0,INDEX(HudFmrs,$P$18,Cdlac[[#This Row],[Bedrooms]]+1),"")</f>
        <v>2625</v>
      </c>
      <c r="S32" s="1058">
        <f>IF(Cdlac[[#This Row],[Quantity]]&gt;0,MAX(0,Cdlac[[#This Row],[Fair Market Rent]]-IF(AND($G$37,$G$38,$G$38&lt;&gt;"",NOT(Cdlac[[#This Row],[Federal]]),Cdlac[[#This Row],[Preservation Rent]]&lt;&gt;""),Cdlac[[#This Row],[Preservation Rent]],Cdlac[[#This Row],[Restricted Rent]])),"")</f>
        <v>1561</v>
      </c>
      <c r="T32" s="1038">
        <f>IF(Cdlac[[#This Row],[Quantity]]&gt;0,AND(Application!AK738&lt;&gt;"N/A",Application!AK738&lt;&gt;"")*Cdlac[[#This Row],[Quantity]],"")</f>
        <v>0</v>
      </c>
      <c r="U32" s="1038" t="b">
        <f>AND('Subsidy Contract Calculation'!F16&gt;0,OR('Subsidy Contract Calculation'!C16="Federal",'Subsidy Contract Calculation'!C16="Local - Approved by ED"),Cdlac[[#This Row],[Quantity]]&gt;0)</f>
        <v>0</v>
      </c>
    </row>
    <row r="33" spans="1:21" ht="15" customHeight="1">
      <c r="A33" s="1067"/>
      <c r="E33" s="1110" t="s">
        <v>45</v>
      </c>
      <c r="F33" s="1040"/>
      <c r="G33" s="1111">
        <f>G32*G31</f>
        <v>4237500</v>
      </c>
      <c r="H33" s="1067"/>
      <c r="I33" s="1067"/>
      <c r="L33" s="1038">
        <f>IFERROR(MIN(4,MATCH(Application!B739,UnitSizes,0)-1),"")</f>
        <v>2</v>
      </c>
      <c r="M33" s="1058">
        <f>Application!G739</f>
        <v>5</v>
      </c>
      <c r="N33" s="1064">
        <f>Application!AC739</f>
        <v>0.6</v>
      </c>
      <c r="O33" s="1064">
        <f>IF(Cdlac[[#This Row],[Quantity]]&gt;0,IF(Cdlac[[#This Row],[Federal]],30%,IF(AND(OR(NOT($G$38),$G$38=""),$G$43),40%,Cdlac[[#This Row],[iAMI]])),"")</f>
        <v>0.6</v>
      </c>
      <c r="P33" s="1058">
        <f t="array" ref="P33">IF(Cdlac[[#This Row],[Quantity]]&gt;0,INDEX(TcacRents,$P$18,Cdlac[[#This Row],[Bedrooms]]+1)*Cdlac[[#This Row],[AMI]],"")</f>
        <v>2043.6</v>
      </c>
      <c r="Q33" s="1155">
        <v>1872</v>
      </c>
      <c r="R33" s="1058">
        <f t="array" ref="R33">IF(Cdlac[[#This Row],[Quantity]]&gt;0,INDEX(HudFmrs,$P$18,Cdlac[[#This Row],[Bedrooms]]+1),"")</f>
        <v>2625</v>
      </c>
      <c r="S33" s="1058">
        <f>IF(Cdlac[[#This Row],[Quantity]]&gt;0,MAX(0,Cdlac[[#This Row],[Fair Market Rent]]-IF(AND($G$37,$G$38,$G$38&lt;&gt;"",NOT(Cdlac[[#This Row],[Federal]]),Cdlac[[#This Row],[Preservation Rent]]&lt;&gt;""),Cdlac[[#This Row],[Preservation Rent]],Cdlac[[#This Row],[Restricted Rent]])),"")</f>
        <v>753</v>
      </c>
      <c r="T33" s="1038">
        <f>IF(Cdlac[[#This Row],[Quantity]]&gt;0,AND(Application!AK739&lt;&gt;"N/A",Application!AK739&lt;&gt;"")*Cdlac[[#This Row],[Quantity]],"")</f>
        <v>0</v>
      </c>
      <c r="U33" s="1038" t="b">
        <f>AND('Subsidy Contract Calculation'!F17&gt;0,OR('Subsidy Contract Calculation'!C17="Federal",'Subsidy Contract Calculation'!C17="Local - Approved by ED"),Cdlac[[#This Row],[Quantity]]&gt;0)</f>
        <v>0</v>
      </c>
    </row>
    <row r="34" spans="1:21" ht="15" customHeight="1">
      <c r="A34" s="1067"/>
      <c r="B34" s="1067"/>
      <c r="C34" s="1067"/>
      <c r="D34" s="1067"/>
      <c r="E34" s="1067"/>
      <c r="F34" s="1067"/>
      <c r="G34" s="1067"/>
      <c r="H34" s="1067"/>
      <c r="I34" s="1067"/>
      <c r="L34" s="1038">
        <f>IFERROR(MIN(4,MATCH(Application!B740,UnitSizes,0)-1),"")</f>
        <v>3</v>
      </c>
      <c r="M34" s="1058">
        <f>Application!G740</f>
        <v>1</v>
      </c>
      <c r="N34" s="1064">
        <f>Application!AC740</f>
        <v>0.3</v>
      </c>
      <c r="O34" s="1064">
        <f>IF(Cdlac[[#This Row],[Quantity]]&gt;0,IF(Cdlac[[#This Row],[Federal]],30%,IF(AND(OR(NOT($G$38),$G$38=""),$G$43),40%,Cdlac[[#This Row],[iAMI]])),"")</f>
        <v>0.3</v>
      </c>
      <c r="P34" s="1058">
        <f t="array" ref="P34">IF(Cdlac[[#This Row],[Quantity]]&gt;0,INDEX(TcacRents,$P$18,Cdlac[[#This Row],[Bedrooms]]+1)*Cdlac[[#This Row],[AMI]],"")</f>
        <v>1181.3999999999999</v>
      </c>
      <c r="Q34" s="1155">
        <v>1181</v>
      </c>
      <c r="R34" s="1058">
        <f t="array" ref="R34">IF(Cdlac[[#This Row],[Quantity]]&gt;0,INDEX(HudFmrs,$P$18,Cdlac[[#This Row],[Bedrooms]]+1),"")</f>
        <v>3335</v>
      </c>
      <c r="S34" s="1058">
        <f>IF(Cdlac[[#This Row],[Quantity]]&gt;0,MAX(0,Cdlac[[#This Row],[Fair Market Rent]]-IF(AND($G$37,$G$38,$G$38&lt;&gt;"",NOT(Cdlac[[#This Row],[Federal]]),Cdlac[[#This Row],[Preservation Rent]]&lt;&gt;""),Cdlac[[#This Row],[Preservation Rent]],Cdlac[[#This Row],[Restricted Rent]])),"")</f>
        <v>2154</v>
      </c>
      <c r="T34" s="1038">
        <f>IF(Cdlac[[#This Row],[Quantity]]&gt;0,AND(Application!AK740&lt;&gt;"N/A",Application!AK740&lt;&gt;"")*Cdlac[[#This Row],[Quantity]],"")</f>
        <v>0</v>
      </c>
      <c r="U34" s="1038" t="b">
        <f>AND('Subsidy Contract Calculation'!F18&gt;0,OR('Subsidy Contract Calculation'!C18="Federal",'Subsidy Contract Calculation'!C18="Local - Approved by ED"),Cdlac[[#This Row],[Quantity]]&gt;0)</f>
        <v>0</v>
      </c>
    </row>
    <row r="35" spans="1:21" ht="15" customHeight="1">
      <c r="B35" s="1059" t="str">
        <f>B10</f>
        <v>B. Rent Savings Benefit</v>
      </c>
      <c r="C35" s="1060"/>
      <c r="D35" s="1060"/>
      <c r="E35" s="1060"/>
      <c r="F35" s="1060"/>
      <c r="G35" s="1060"/>
      <c r="H35" s="1060"/>
      <c r="I35" s="1061"/>
      <c r="L35" s="1038">
        <f>IFERROR(MIN(4,MATCH(Application!B741,UnitSizes,0)-1),"")</f>
        <v>3</v>
      </c>
      <c r="M35" s="1058">
        <f>Application!G741</f>
        <v>3</v>
      </c>
      <c r="N35" s="1064">
        <f>Application!AC741</f>
        <v>0.45</v>
      </c>
      <c r="O35" s="1064">
        <f>IF(Cdlac[[#This Row],[Quantity]]&gt;0,IF(Cdlac[[#This Row],[Federal]],30%,IF(AND(OR(NOT($G$38),$G$38=""),$G$43),40%,Cdlac[[#This Row],[iAMI]])),"")</f>
        <v>0.45</v>
      </c>
      <c r="P35" s="1058">
        <f t="array" ref="P35">IF(Cdlac[[#This Row],[Quantity]]&gt;0,INDEX(TcacRents,$P$18,Cdlac[[#This Row],[Bedrooms]]+1)*Cdlac[[#This Row],[AMI]],"")</f>
        <v>1772.1000000000001</v>
      </c>
      <c r="Q35" s="1155">
        <v>1418</v>
      </c>
      <c r="R35" s="1058">
        <f t="array" ref="R35">IF(Cdlac[[#This Row],[Quantity]]&gt;0,INDEX(HudFmrs,$P$18,Cdlac[[#This Row],[Bedrooms]]+1),"")</f>
        <v>3335</v>
      </c>
      <c r="S35" s="1058">
        <f>IF(Cdlac[[#This Row],[Quantity]]&gt;0,MAX(0,Cdlac[[#This Row],[Fair Market Rent]]-IF(AND($G$37,$G$38,$G$38&lt;&gt;"",NOT(Cdlac[[#This Row],[Federal]]),Cdlac[[#This Row],[Preservation Rent]]&lt;&gt;""),Cdlac[[#This Row],[Preservation Rent]],Cdlac[[#This Row],[Restricted Rent]])),"")</f>
        <v>1917</v>
      </c>
      <c r="T35" s="1038">
        <f>IF(Cdlac[[#This Row],[Quantity]]&gt;0,AND(Application!AK741&lt;&gt;"N/A",Application!AK741&lt;&gt;"")*Cdlac[[#This Row],[Quantity]],"")</f>
        <v>0</v>
      </c>
      <c r="U35" s="1038" t="b">
        <f>AND('Subsidy Contract Calculation'!F19&gt;0,OR('Subsidy Contract Calculation'!C19="Federal",'Subsidy Contract Calculation'!C19="Local - Approved by ED"),Cdlac[[#This Row],[Quantity]]&gt;0)</f>
        <v>0</v>
      </c>
    </row>
    <row r="36" spans="1:21" ht="15" customHeight="1">
      <c r="L36" s="1038">
        <f>IFERROR(MIN(4,MATCH(Application!B742,UnitSizes,0)-1),"")</f>
        <v>3</v>
      </c>
      <c r="M36" s="1058">
        <f>Application!G742</f>
        <v>2</v>
      </c>
      <c r="N36" s="1064">
        <f>Application!AC742</f>
        <v>0.5</v>
      </c>
      <c r="O36" s="1064">
        <f>IF(Cdlac[[#This Row],[Quantity]]&gt;0,IF(Cdlac[[#This Row],[Federal]],30%,IF(AND(OR(NOT($G$38),$G$38=""),$G$43),40%,Cdlac[[#This Row],[iAMI]])),"")</f>
        <v>0.5</v>
      </c>
      <c r="P36" s="1058">
        <f t="array" ref="P36">IF(Cdlac[[#This Row],[Quantity]]&gt;0,INDEX(TcacRents,$P$18,Cdlac[[#This Row],[Bedrooms]]+1)*Cdlac[[#This Row],[AMI]],"")</f>
        <v>1969</v>
      </c>
      <c r="Q36" s="1155">
        <v>1427</v>
      </c>
      <c r="R36" s="1058">
        <f t="array" ref="R36">IF(Cdlac[[#This Row],[Quantity]]&gt;0,INDEX(HudFmrs,$P$18,Cdlac[[#This Row],[Bedrooms]]+1),"")</f>
        <v>3335</v>
      </c>
      <c r="S36" s="1058">
        <f>IF(Cdlac[[#This Row],[Quantity]]&gt;0,MAX(0,Cdlac[[#This Row],[Fair Market Rent]]-IF(AND($G$37,$G$38,$G$38&lt;&gt;"",NOT(Cdlac[[#This Row],[Federal]]),Cdlac[[#This Row],[Preservation Rent]]&lt;&gt;""),Cdlac[[#This Row],[Preservation Rent]],Cdlac[[#This Row],[Restricted Rent]])),"")</f>
        <v>1908</v>
      </c>
      <c r="T36" s="1038">
        <f>IF(Cdlac[[#This Row],[Quantity]]&gt;0,AND(Application!AK742&lt;&gt;"N/A",Application!AK742&lt;&gt;"")*Cdlac[[#This Row],[Quantity]],"")</f>
        <v>0</v>
      </c>
      <c r="U36" s="1038" t="b">
        <f>AND('Subsidy Contract Calculation'!F20&gt;0,OR('Subsidy Contract Calculation'!C20="Federal",'Subsidy Contract Calculation'!C20="Local - Approved by ED"),Cdlac[[#This Row],[Quantity]]&gt;0)</f>
        <v>0</v>
      </c>
    </row>
    <row r="37" spans="1:21" ht="15" customHeight="1">
      <c r="E37" s="1077" t="s">
        <v>46</v>
      </c>
      <c r="G37" s="1038" t="b">
        <f>'Points System'!AK61&gt;0</f>
        <v>1</v>
      </c>
      <c r="L37" s="1038">
        <f>IFERROR(MIN(4,MATCH(Application!B743,UnitSizes,0)-1),"")</f>
        <v>3</v>
      </c>
      <c r="M37" s="1058">
        <f>Application!G743</f>
        <v>4</v>
      </c>
      <c r="N37" s="1064">
        <f>Application!AC743</f>
        <v>0.6</v>
      </c>
      <c r="O37" s="1064">
        <f>IF(Cdlac[[#This Row],[Quantity]]&gt;0,IF(Cdlac[[#This Row],[Federal]],30%,IF(AND(OR(NOT($G$38),$G$38=""),$G$43),40%,Cdlac[[#This Row],[iAMI]])),"")</f>
        <v>0.6</v>
      </c>
      <c r="P37" s="1058">
        <f t="array" ref="P37">IF(Cdlac[[#This Row],[Quantity]]&gt;0,INDEX(TcacRents,$P$18,Cdlac[[#This Row],[Bedrooms]]+1)*Cdlac[[#This Row],[AMI]],"")</f>
        <v>2362.7999999999997</v>
      </c>
      <c r="Q37" s="1155">
        <v>2155</v>
      </c>
      <c r="R37" s="1058">
        <f t="array" ref="R37">IF(Cdlac[[#This Row],[Quantity]]&gt;0,INDEX(HudFmrs,$P$18,Cdlac[[#This Row],[Bedrooms]]+1),"")</f>
        <v>3335</v>
      </c>
      <c r="S37" s="1058">
        <f>IF(Cdlac[[#This Row],[Quantity]]&gt;0,MAX(0,Cdlac[[#This Row],[Fair Market Rent]]-IF(AND($G$37,$G$38,$G$38&lt;&gt;"",NOT(Cdlac[[#This Row],[Federal]]),Cdlac[[#This Row],[Preservation Rent]]&lt;&gt;""),Cdlac[[#This Row],[Preservation Rent]],Cdlac[[#This Row],[Restricted Rent]])),"")</f>
        <v>1180</v>
      </c>
      <c r="T37" s="1038">
        <f>IF(Cdlac[[#This Row],[Quantity]]&gt;0,AND(Application!AK743&lt;&gt;"N/A",Application!AK743&lt;&gt;"")*Cdlac[[#This Row],[Quantity]],"")</f>
        <v>0</v>
      </c>
      <c r="U37" s="1038" t="b">
        <f>AND('Subsidy Contract Calculation'!F21&gt;0,OR('Subsidy Contract Calculation'!C21="Federal",'Subsidy Contract Calculation'!C21="Local - Approved by ED"),Cdlac[[#This Row],[Quantity]]&gt;0)</f>
        <v>0</v>
      </c>
    </row>
    <row r="38" spans="1:21" ht="15" customHeight="1">
      <c r="E38" s="1077" t="s">
        <v>47</v>
      </c>
      <c r="G38" s="1154" t="b">
        <v>1</v>
      </c>
      <c r="L38" s="1038">
        <f>IFERROR(MIN(4,MATCH(Application!B744,UnitSizes,0)-1),"")</f>
        <v>3</v>
      </c>
      <c r="M38" s="1058">
        <f>Application!G744</f>
        <v>2</v>
      </c>
      <c r="N38" s="1064">
        <f>Application!AC744</f>
        <v>0.3</v>
      </c>
      <c r="O38" s="1064">
        <f>IF(Cdlac[[#This Row],[Quantity]]&gt;0,IF(Cdlac[[#This Row],[Federal]],30%,IF(AND(OR(NOT($G$38),$G$38=""),$G$43),40%,Cdlac[[#This Row],[iAMI]])),"")</f>
        <v>0.3</v>
      </c>
      <c r="P38" s="1058">
        <f t="array" ref="P38">IF(Cdlac[[#This Row],[Quantity]]&gt;0,INDEX(TcacRents,$P$18,Cdlac[[#This Row],[Bedrooms]]+1)*Cdlac[[#This Row],[AMI]],"")</f>
        <v>1181.3999999999999</v>
      </c>
      <c r="Q38" s="1155">
        <v>908</v>
      </c>
      <c r="R38" s="1058">
        <f t="array" ref="R38">IF(Cdlac[[#This Row],[Quantity]]&gt;0,INDEX(HudFmrs,$P$18,Cdlac[[#This Row],[Bedrooms]]+1),"")</f>
        <v>3335</v>
      </c>
      <c r="S38" s="1058">
        <f>IF(Cdlac[[#This Row],[Quantity]]&gt;0,MAX(0,Cdlac[[#This Row],[Fair Market Rent]]-IF(AND($G$37,$G$38,$G$38&lt;&gt;"",NOT(Cdlac[[#This Row],[Federal]]),Cdlac[[#This Row],[Preservation Rent]]&lt;&gt;""),Cdlac[[#This Row],[Preservation Rent]],Cdlac[[#This Row],[Restricted Rent]])),"")</f>
        <v>2427</v>
      </c>
      <c r="T38" s="1038">
        <f>IF(Cdlac[[#This Row],[Quantity]]&gt;0,AND(Application!AK744&lt;&gt;"N/A",Application!AK744&lt;&gt;"")*Cdlac[[#This Row],[Quantity]],"")</f>
        <v>0</v>
      </c>
      <c r="U38" s="1038" t="b">
        <f>AND('Subsidy Contract Calculation'!F22&gt;0,OR('Subsidy Contract Calculation'!C22="Federal",'Subsidy Contract Calculation'!C22="Local - Approved by ED"),Cdlac[[#This Row],[Quantity]]&gt;0)</f>
        <v>0</v>
      </c>
    </row>
    <row r="39" spans="1:21" ht="15" customHeight="1">
      <c r="C39" s="1269"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1270"/>
      <c r="E39" s="1270"/>
      <c r="F39" s="1270"/>
      <c r="G39" s="1270"/>
      <c r="H39" s="1270"/>
      <c r="L39" s="1038">
        <f>IFERROR(MIN(4,MATCH(Application!B745,UnitSizes,0)-1),"")</f>
        <v>3</v>
      </c>
      <c r="M39" s="1058">
        <f>Application!G745</f>
        <v>4</v>
      </c>
      <c r="N39" s="1064">
        <f>Application!AC745</f>
        <v>0.5</v>
      </c>
      <c r="O39" s="1064">
        <f>IF(Cdlac[[#This Row],[Quantity]]&gt;0,IF(Cdlac[[#This Row],[Federal]],30%,IF(AND(OR(NOT($G$38),$G$38=""),$G$43),40%,Cdlac[[#This Row],[iAMI]])),"")</f>
        <v>0.5</v>
      </c>
      <c r="P39" s="1058">
        <f t="array" ref="P39">IF(Cdlac[[#This Row],[Quantity]]&gt;0,INDEX(TcacRents,$P$18,Cdlac[[#This Row],[Bedrooms]]+1)*Cdlac[[#This Row],[AMI]],"")</f>
        <v>1969</v>
      </c>
      <c r="Q39" s="1155">
        <v>1136</v>
      </c>
      <c r="R39" s="1058">
        <f t="array" ref="R39">IF(Cdlac[[#This Row],[Quantity]]&gt;0,INDEX(HudFmrs,$P$18,Cdlac[[#This Row],[Bedrooms]]+1),"")</f>
        <v>3335</v>
      </c>
      <c r="S39" s="1058">
        <f>IF(Cdlac[[#This Row],[Quantity]]&gt;0,MAX(0,Cdlac[[#This Row],[Fair Market Rent]]-IF(AND($G$37,$G$38,$G$38&lt;&gt;"",NOT(Cdlac[[#This Row],[Federal]]),Cdlac[[#This Row],[Preservation Rent]]&lt;&gt;""),Cdlac[[#This Row],[Preservation Rent]],Cdlac[[#This Row],[Restricted Rent]])),"")</f>
        <v>2199</v>
      </c>
      <c r="T39" s="1038">
        <f>IF(Cdlac[[#This Row],[Quantity]]&gt;0,AND(Application!AK745&lt;&gt;"N/A",Application!AK745&lt;&gt;"")*Cdlac[[#This Row],[Quantity]],"")</f>
        <v>0</v>
      </c>
      <c r="U39" s="1038" t="b">
        <f>AND('Subsidy Contract Calculation'!F23&gt;0,OR('Subsidy Contract Calculation'!C23="Federal",'Subsidy Contract Calculation'!C23="Local - Approved by ED"),Cdlac[[#This Row],[Quantity]]&gt;0)</f>
        <v>0</v>
      </c>
    </row>
    <row r="40" spans="1:21" ht="15" customHeight="1">
      <c r="C40" s="1270"/>
      <c r="D40" s="1270"/>
      <c r="E40" s="1270"/>
      <c r="F40" s="1270"/>
      <c r="G40" s="1270"/>
      <c r="H40" s="1270"/>
      <c r="L40" s="1038">
        <f>IFERROR(MIN(4,MATCH(Application!B746,UnitSizes,0)-1),"")</f>
        <v>3</v>
      </c>
      <c r="M40" s="1058">
        <f>Application!G746</f>
        <v>8</v>
      </c>
      <c r="N40" s="1064">
        <f>Application!AC746</f>
        <v>0.4</v>
      </c>
      <c r="O40" s="1064">
        <f>IF(Cdlac[[#This Row],[Quantity]]&gt;0,IF(Cdlac[[#This Row],[Federal]],30%,IF(AND(OR(NOT($G$38),$G$38=""),$G$43),40%,Cdlac[[#This Row],[iAMI]])),"")</f>
        <v>0.4</v>
      </c>
      <c r="P40" s="1058">
        <f t="array" ref="P40">IF(Cdlac[[#This Row],[Quantity]]&gt;0,INDEX(TcacRents,$P$18,Cdlac[[#This Row],[Bedrooms]]+1)*Cdlac[[#This Row],[AMI]],"")</f>
        <v>1575.2</v>
      </c>
      <c r="Q40" s="1155">
        <v>946</v>
      </c>
      <c r="R40" s="1058">
        <f t="array" ref="R40">IF(Cdlac[[#This Row],[Quantity]]&gt;0,INDEX(HudFmrs,$P$18,Cdlac[[#This Row],[Bedrooms]]+1),"")</f>
        <v>3335</v>
      </c>
      <c r="S40" s="1058">
        <f>IF(Cdlac[[#This Row],[Quantity]]&gt;0,MAX(0,Cdlac[[#This Row],[Fair Market Rent]]-IF(AND($G$37,$G$38,$G$38&lt;&gt;"",NOT(Cdlac[[#This Row],[Federal]]),Cdlac[[#This Row],[Preservation Rent]]&lt;&gt;""),Cdlac[[#This Row],[Preservation Rent]],Cdlac[[#This Row],[Restricted Rent]])),"")</f>
        <v>2389</v>
      </c>
      <c r="T40" s="1038">
        <f>IF(Cdlac[[#This Row],[Quantity]]&gt;0,AND(Application!AK746&lt;&gt;"N/A",Application!AK746&lt;&gt;"")*Cdlac[[#This Row],[Quantity]],"")</f>
        <v>0</v>
      </c>
      <c r="U40" s="1038" t="b">
        <f>AND('Subsidy Contract Calculation'!F24&gt;0,OR('Subsidy Contract Calculation'!C24="Federal",'Subsidy Contract Calculation'!C24="Local - Approved by ED"),Cdlac[[#This Row],[Quantity]]&gt;0)</f>
        <v>0</v>
      </c>
    </row>
    <row r="41" spans="1:21" ht="15" customHeight="1">
      <c r="C41" s="1270"/>
      <c r="D41" s="1270"/>
      <c r="E41" s="1270"/>
      <c r="F41" s="1270"/>
      <c r="G41" s="1270"/>
      <c r="H41" s="1270"/>
      <c r="L41" s="1038">
        <f>IFERROR(MIN(4,MATCH(Application!B747,UnitSizes,0)-1),"")</f>
        <v>3</v>
      </c>
      <c r="M41" s="1058">
        <f>Application!G747</f>
        <v>4</v>
      </c>
      <c r="N41" s="1064">
        <f>Application!AC747</f>
        <v>0.6</v>
      </c>
      <c r="O41" s="1064">
        <f>IF(Cdlac[[#This Row],[Quantity]]&gt;0,IF(Cdlac[[#This Row],[Federal]],30%,IF(AND(OR(NOT($G$38),$G$38=""),$G$43),40%,Cdlac[[#This Row],[iAMI]])),"")</f>
        <v>0.6</v>
      </c>
      <c r="P41" s="1058">
        <f t="array" ref="P41">IF(Cdlac[[#This Row],[Quantity]]&gt;0,INDEX(TcacRents,$P$18,Cdlac[[#This Row],[Bedrooms]]+1)*Cdlac[[#This Row],[AMI]],"")</f>
        <v>2362.7999999999997</v>
      </c>
      <c r="Q41" s="1155">
        <v>1812</v>
      </c>
      <c r="R41" s="1058">
        <f t="array" ref="R41">IF(Cdlac[[#This Row],[Quantity]]&gt;0,INDEX(HudFmrs,$P$18,Cdlac[[#This Row],[Bedrooms]]+1),"")</f>
        <v>3335</v>
      </c>
      <c r="S41" s="1058">
        <f>IF(Cdlac[[#This Row],[Quantity]]&gt;0,MAX(0,Cdlac[[#This Row],[Fair Market Rent]]-IF(AND($G$37,$G$38,$G$38&lt;&gt;"",NOT(Cdlac[[#This Row],[Federal]]),Cdlac[[#This Row],[Preservation Rent]]&lt;&gt;""),Cdlac[[#This Row],[Preservation Rent]],Cdlac[[#This Row],[Restricted Rent]])),"")</f>
        <v>1523</v>
      </c>
      <c r="T41" s="1038">
        <f>IF(Cdlac[[#This Row],[Quantity]]&gt;0,AND(Application!AK747&lt;&gt;"N/A",Application!AK747&lt;&gt;"")*Cdlac[[#This Row],[Quantity]],"")</f>
        <v>0</v>
      </c>
      <c r="U41" s="1038" t="b">
        <f>AND('Subsidy Contract Calculation'!F25&gt;0,OR('Subsidy Contract Calculation'!C25="Federal",'Subsidy Contract Calculation'!C25="Local - Approved by ED"),Cdlac[[#This Row],[Quantity]]&gt;0)</f>
        <v>0</v>
      </c>
    </row>
    <row r="42" spans="1:21" ht="15" customHeight="1">
      <c r="E42" s="1077" t="s">
        <v>48</v>
      </c>
      <c r="G42" s="1112">
        <f t="array" ref="G42">SUMPRODUCT(Cdlac[Quantity],Cdlac[iAMI],IF(Cdlac[Federal],0,1))/SUMIFS(Cdlac[Quantity],Cdlac[Federal],FALSE)</f>
        <v>0.47187500000000004</v>
      </c>
      <c r="L42" s="1038">
        <f>IFERROR(MIN(4,MATCH(Application!B748,UnitSizes,0)-1),"")</f>
        <v>4</v>
      </c>
      <c r="M42" s="1058">
        <f>Application!G748</f>
        <v>1</v>
      </c>
      <c r="N42" s="1064">
        <f>Application!AC748</f>
        <v>0.3</v>
      </c>
      <c r="O42" s="1064">
        <f>IF(Cdlac[[#This Row],[Quantity]]&gt;0,IF(Cdlac[[#This Row],[Federal]],30%,IF(AND(OR(NOT($G$38),$G$38=""),$G$43),40%,Cdlac[[#This Row],[iAMI]])),"")</f>
        <v>0.3</v>
      </c>
      <c r="P42" s="1058">
        <f t="array" ref="P42">IF(Cdlac[[#This Row],[Quantity]]&gt;0,INDEX(TcacRents,$P$18,Cdlac[[#This Row],[Bedrooms]]+1)*Cdlac[[#This Row],[AMI]],"")</f>
        <v>1317.6</v>
      </c>
      <c r="Q42" s="1155">
        <v>1200</v>
      </c>
      <c r="R42" s="1058">
        <f t="array" ref="R42">IF(Cdlac[[#This Row],[Quantity]]&gt;0,INDEX(HudFmrs,$P$18,Cdlac[[#This Row],[Bedrooms]]+1),"")</f>
        <v>3698</v>
      </c>
      <c r="S42" s="1058">
        <f>IF(Cdlac[[#This Row],[Quantity]]&gt;0,MAX(0,Cdlac[[#This Row],[Fair Market Rent]]-IF(AND($G$37,$G$38,$G$38&lt;&gt;"",NOT(Cdlac[[#This Row],[Federal]]),Cdlac[[#This Row],[Preservation Rent]]&lt;&gt;""),Cdlac[[#This Row],[Preservation Rent]],Cdlac[[#This Row],[Restricted Rent]])),"")</f>
        <v>2498</v>
      </c>
      <c r="T42" s="1038">
        <f>IF(Cdlac[[#This Row],[Quantity]]&gt;0,AND(Application!AK748&lt;&gt;"N/A",Application!AK748&lt;&gt;"")*Cdlac[[#This Row],[Quantity]],"")</f>
        <v>0</v>
      </c>
      <c r="U42" s="1038" t="b">
        <f>AND('Subsidy Contract Calculation'!F26&gt;0,OR('Subsidy Contract Calculation'!C26="Federal",'Subsidy Contract Calculation'!C26="Local - Approved by ED"),Cdlac[[#This Row],[Quantity]]&gt;0)</f>
        <v>0</v>
      </c>
    </row>
    <row r="43" spans="1:21" ht="15" customHeight="1">
      <c r="E43" s="1077" t="s">
        <v>49</v>
      </c>
      <c r="G43" s="1074" t="b">
        <f>G42&lt;40%</f>
        <v>0</v>
      </c>
      <c r="L43" s="1038">
        <f>IFERROR(MIN(4,MATCH(Application!B749,UnitSizes,0)-1),"")</f>
        <v>4</v>
      </c>
      <c r="M43" s="1058">
        <f>Application!G749</f>
        <v>4</v>
      </c>
      <c r="N43" s="1064">
        <f>Application!AC749</f>
        <v>0.5</v>
      </c>
      <c r="O43" s="1064">
        <f>IF(Cdlac[[#This Row],[Quantity]]&gt;0,IF(Cdlac[[#This Row],[Federal]],30%,IF(AND(OR(NOT($G$38),$G$38=""),$G$43),40%,Cdlac[[#This Row],[iAMI]])),"")</f>
        <v>0.5</v>
      </c>
      <c r="P43" s="1058">
        <f t="array" ref="P43">IF(Cdlac[[#This Row],[Quantity]]&gt;0,INDEX(TcacRents,$P$18,Cdlac[[#This Row],[Bedrooms]]+1)*Cdlac[[#This Row],[AMI]],"")</f>
        <v>2196</v>
      </c>
      <c r="Q43" s="1155">
        <v>1271</v>
      </c>
      <c r="R43" s="1058">
        <f t="array" ref="R43">IF(Cdlac[[#This Row],[Quantity]]&gt;0,INDEX(HudFmrs,$P$18,Cdlac[[#This Row],[Bedrooms]]+1),"")</f>
        <v>3698</v>
      </c>
      <c r="S43" s="1058">
        <f>IF(Cdlac[[#This Row],[Quantity]]&gt;0,MAX(0,Cdlac[[#This Row],[Fair Market Rent]]-IF(AND($G$37,$G$38,$G$38&lt;&gt;"",NOT(Cdlac[[#This Row],[Federal]]),Cdlac[[#This Row],[Preservation Rent]]&lt;&gt;""),Cdlac[[#This Row],[Preservation Rent]],Cdlac[[#This Row],[Restricted Rent]])),"")</f>
        <v>2427</v>
      </c>
      <c r="T43" s="1038">
        <f>IF(Cdlac[[#This Row],[Quantity]]&gt;0,AND(Application!AK749&lt;&gt;"N/A",Application!AK749&lt;&gt;"")*Cdlac[[#This Row],[Quantity]],"")</f>
        <v>0</v>
      </c>
      <c r="U43" s="1038" t="b">
        <f>AND('Subsidy Contract Calculation'!F27&gt;0,OR('Subsidy Contract Calculation'!C27="Federal",'Subsidy Contract Calculation'!C27="Local - Approved by ED"),Cdlac[[#This Row],[Quantity]]&gt;0)</f>
        <v>0</v>
      </c>
    </row>
    <row r="44" spans="1:21" ht="15" customHeight="1">
      <c r="L44" s="1038">
        <f>IFERROR(MIN(4,MATCH(Application!B750,UnitSizes,0)-1),"")</f>
        <v>4</v>
      </c>
      <c r="M44" s="1058">
        <f>Application!G750</f>
        <v>1</v>
      </c>
      <c r="N44" s="1064">
        <f>Application!AC750</f>
        <v>0.6</v>
      </c>
      <c r="O44" s="1064">
        <f>IF(Cdlac[[#This Row],[Quantity]]&gt;0,IF(Cdlac[[#This Row],[Federal]],30%,IF(AND(OR(NOT($G$38),$G$38=""),$G$43),40%,Cdlac[[#This Row],[iAMI]])),"")</f>
        <v>0.6</v>
      </c>
      <c r="P44" s="1058">
        <f t="array" ref="P44">IF(Cdlac[[#This Row],[Quantity]]&gt;0,INDEX(TcacRents,$P$18,Cdlac[[#This Row],[Bedrooms]]+1)*Cdlac[[#This Row],[AMI]],"")</f>
        <v>2635.2</v>
      </c>
      <c r="Q44" s="1155">
        <v>2335</v>
      </c>
      <c r="R44" s="1058">
        <f t="array" ref="R44">IF(Cdlac[[#This Row],[Quantity]]&gt;0,INDEX(HudFmrs,$P$18,Cdlac[[#This Row],[Bedrooms]]+1),"")</f>
        <v>3698</v>
      </c>
      <c r="S44" s="1058">
        <f>IF(Cdlac[[#This Row],[Quantity]]&gt;0,MAX(0,Cdlac[[#This Row],[Fair Market Rent]]-IF(AND($G$37,$G$38,$G$38&lt;&gt;"",NOT(Cdlac[[#This Row],[Federal]]),Cdlac[[#This Row],[Preservation Rent]]&lt;&gt;""),Cdlac[[#This Row],[Preservation Rent]],Cdlac[[#This Row],[Restricted Rent]])),"")</f>
        <v>1363</v>
      </c>
      <c r="T44" s="1038">
        <f>IF(Cdlac[[#This Row],[Quantity]]&gt;0,AND(Application!AK750&lt;&gt;"N/A",Application!AK750&lt;&gt;"")*Cdlac[[#This Row],[Quantity]],"")</f>
        <v>0</v>
      </c>
      <c r="U44" s="1038" t="b">
        <f>AND('Subsidy Contract Calculation'!F28&gt;0,OR('Subsidy Contract Calculation'!C28="Federal",'Subsidy Contract Calculation'!C28="Local - Approved by ED"),Cdlac[[#This Row],[Quantity]]&gt;0)</f>
        <v>0</v>
      </c>
    </row>
    <row r="45" spans="1:21" ht="15" customHeight="1">
      <c r="E45" s="1077" t="s">
        <v>50</v>
      </c>
      <c r="G45" s="1071">
        <f>IFERROR(SUMPRODUCT(Cdlac[Quantity],Cdlac[Delta]),0)</f>
        <v>104448</v>
      </c>
      <c r="L45" s="1038" t="str">
        <f>IFERROR(MIN(4,MATCH(Application!B751,UnitSizes,0)-1),"")</f>
        <v/>
      </c>
      <c r="M45" s="1058">
        <f>Application!G751</f>
        <v>0</v>
      </c>
      <c r="N45" s="1064">
        <f>Application!AC751</f>
        <v>0</v>
      </c>
      <c r="O45" s="1064" t="str">
        <f>IF(Cdlac[[#This Row],[Quantity]]&gt;0,IF(Cdlac[[#This Row],[Federal]],30%,IF(AND(OR(NOT($G$38),$G$38=""),$G$43),40%,Cdlac[[#This Row],[iAMI]])),"")</f>
        <v/>
      </c>
      <c r="P45" s="1058" t="str">
        <f t="array" ref="P45">IF(Cdlac[[#This Row],[Quantity]]&gt;0,INDEX(TcacRents,$P$18,Cdlac[[#This Row],[Bedrooms]]+1)*Cdlac[[#This Row],[AMI]],"")</f>
        <v/>
      </c>
      <c r="Q45" s="1155" t="e">
        <f>+Cdlac[[#This Row],[Restricted Rent]]-100</f>
        <v>#VALUE!</v>
      </c>
      <c r="R45" s="1058" t="str">
        <f t="array" ref="R45">IF(Cdlac[[#This Row],[Quantity]]&gt;0,INDEX(HudFmrs,$P$18,Cdlac[[#This Row],[Bedrooms]]+1),"")</f>
        <v/>
      </c>
      <c r="S45" s="1058" t="str">
        <f>IF(Cdlac[[#This Row],[Quantity]]&gt;0,MAX(0,Cdlac[[#This Row],[Fair Market Rent]]-IF(AND($G$37,$G$38,$G$38&lt;&gt;"",NOT(Cdlac[[#This Row],[Federal]]),Cdlac[[#This Row],[Preservation Rent]]&lt;&gt;""),Cdlac[[#This Row],[Preservation Rent]],Cdlac[[#This Row],[Restricted Rent]])),"")</f>
        <v/>
      </c>
      <c r="T45" s="1038" t="str">
        <f>IF(Cdlac[[#This Row],[Quantity]]&gt;0,AND(Application!AK751&lt;&gt;"N/A",Application!AK751&lt;&gt;"")*Cdlac[[#This Row],[Quantity]],"")</f>
        <v/>
      </c>
      <c r="U45" s="1038" t="b">
        <f>AND('Subsidy Contract Calculation'!F29&gt;0,OR('Subsidy Contract Calculation'!C29="Federal",'Subsidy Contract Calculation'!C29="Local - Approved by ED"),Cdlac[[#This Row],[Quantity]]&gt;0)</f>
        <v>0</v>
      </c>
    </row>
    <row r="46" spans="1:21" ht="15" customHeight="1">
      <c r="E46" s="1109" t="s">
        <v>51</v>
      </c>
      <c r="F46" s="1105" t="s">
        <v>44</v>
      </c>
      <c r="G46" s="1113">
        <f>12*15</f>
        <v>180</v>
      </c>
      <c r="L46" s="1038" t="str">
        <f>IFERROR(MIN(4,MATCH(Application!B752,UnitSizes,0)-1),"")</f>
        <v/>
      </c>
      <c r="M46" s="1058">
        <f>Application!G752</f>
        <v>0</v>
      </c>
      <c r="N46" s="1064">
        <f>Application!AC752</f>
        <v>0</v>
      </c>
      <c r="O46" s="1064" t="str">
        <f>IF(Cdlac[[#This Row],[Quantity]]&gt;0,IF(Cdlac[[#This Row],[Federal]],30%,IF(AND(OR(NOT($G$38),$G$38=""),$G$43),40%,Cdlac[[#This Row],[iAMI]])),"")</f>
        <v/>
      </c>
      <c r="P46" s="1058" t="str">
        <f t="array" ref="P46">IF(Cdlac[[#This Row],[Quantity]]&gt;0,INDEX(TcacRents,$P$18,Cdlac[[#This Row],[Bedrooms]]+1)*Cdlac[[#This Row],[AMI]],"")</f>
        <v/>
      </c>
      <c r="Q46" s="1155" t="e">
        <f>+Cdlac[[#This Row],[Restricted Rent]]-100</f>
        <v>#VALUE!</v>
      </c>
      <c r="R46" s="1058" t="str">
        <f t="array" ref="R46">IF(Cdlac[[#This Row],[Quantity]]&gt;0,INDEX(HudFmrs,$P$18,Cdlac[[#This Row],[Bedrooms]]+1),"")</f>
        <v/>
      </c>
      <c r="S46" s="1058" t="str">
        <f>IF(Cdlac[[#This Row],[Quantity]]&gt;0,MAX(0,Cdlac[[#This Row],[Fair Market Rent]]-IF(AND($G$37,$G$38,$G$38&lt;&gt;"",NOT(Cdlac[[#This Row],[Federal]]),Cdlac[[#This Row],[Preservation Rent]]&lt;&gt;""),Cdlac[[#This Row],[Preservation Rent]],Cdlac[[#This Row],[Restricted Rent]])),"")</f>
        <v/>
      </c>
      <c r="T46" s="1038" t="str">
        <f>IF(Cdlac[[#This Row],[Quantity]]&gt;0,AND(Application!AK752&lt;&gt;"N/A",Application!AK752&lt;&gt;"")*Cdlac[[#This Row],[Quantity]],"")</f>
        <v/>
      </c>
      <c r="U46" s="1038" t="b">
        <f>AND('Subsidy Contract Calculation'!F30&gt;0,OR('Subsidy Contract Calculation'!C30="Federal",'Subsidy Contract Calculation'!C30="Local - Approved by ED"),Cdlac[[#This Row],[Quantity]]&gt;0)</f>
        <v>0</v>
      </c>
    </row>
    <row r="47" spans="1:21" ht="15" customHeight="1">
      <c r="E47" s="1114" t="s">
        <v>52</v>
      </c>
      <c r="F47" s="1040"/>
      <c r="G47" s="1115">
        <f>G45*G46</f>
        <v>18800640</v>
      </c>
      <c r="L47" s="1038" t="str">
        <f>IFERROR(MIN(4,MATCH(Application!B753,UnitSizes,0)-1),"")</f>
        <v/>
      </c>
      <c r="M47" s="1058">
        <f>Application!G753</f>
        <v>0</v>
      </c>
      <c r="N47" s="1064">
        <f>Application!AC753</f>
        <v>0</v>
      </c>
      <c r="O47" s="1064" t="str">
        <f>IF(Cdlac[[#This Row],[Quantity]]&gt;0,IF(Cdlac[[#This Row],[Federal]],30%,IF(AND(OR(NOT($G$38),$G$38=""),$G$43),40%,Cdlac[[#This Row],[iAMI]])),"")</f>
        <v/>
      </c>
      <c r="P47" s="1058" t="str">
        <f t="array" ref="P47">IF(Cdlac[[#This Row],[Quantity]]&gt;0,INDEX(TcacRents,$P$18,Cdlac[[#This Row],[Bedrooms]]+1)*Cdlac[[#This Row],[AMI]],"")</f>
        <v/>
      </c>
      <c r="Q47" s="1155" t="e">
        <f>+Cdlac[[#This Row],[Restricted Rent]]-100</f>
        <v>#VALUE!</v>
      </c>
      <c r="R47" s="1058" t="str">
        <f t="array" ref="R47">IF(Cdlac[[#This Row],[Quantity]]&gt;0,INDEX(HudFmrs,$P$18,Cdlac[[#This Row],[Bedrooms]]+1),"")</f>
        <v/>
      </c>
      <c r="S47" s="1058" t="str">
        <f>IF(Cdlac[[#This Row],[Quantity]]&gt;0,MAX(0,Cdlac[[#This Row],[Fair Market Rent]]-IF(AND($G$37,$G$38,$G$38&lt;&gt;"",NOT(Cdlac[[#This Row],[Federal]]),Cdlac[[#This Row],[Preservation Rent]]&lt;&gt;""),Cdlac[[#This Row],[Preservation Rent]],Cdlac[[#This Row],[Restricted Rent]])),"")</f>
        <v/>
      </c>
      <c r="T47" s="1038" t="str">
        <f>IF(Cdlac[[#This Row],[Quantity]]&gt;0,AND(Application!AK753&lt;&gt;"N/A",Application!AK753&lt;&gt;"")*Cdlac[[#This Row],[Quantity]],"")</f>
        <v/>
      </c>
      <c r="U47" s="1038" t="b">
        <f>AND('Subsidy Contract Calculation'!F31&gt;0,OR('Subsidy Contract Calculation'!C31="Federal",'Subsidy Contract Calculation'!C31="Local - Approved by ED"),Cdlac[[#This Row],[Quantity]]&gt;0)</f>
        <v>0</v>
      </c>
    </row>
    <row r="48" spans="1:21" ht="15" customHeight="1">
      <c r="L48" s="1038" t="str">
        <f>IFERROR(MIN(4,MATCH(Application!B754,UnitSizes,0)-1),"")</f>
        <v/>
      </c>
      <c r="M48" s="1058">
        <f>Application!G754</f>
        <v>0</v>
      </c>
      <c r="N48" s="1064">
        <f>Application!AC754</f>
        <v>0</v>
      </c>
      <c r="O48" s="1064" t="str">
        <f>IF(Cdlac[[#This Row],[Quantity]]&gt;0,IF(Cdlac[[#This Row],[Federal]],30%,IF(AND(OR(NOT($G$38),$G$38=""),$G$43),40%,Cdlac[[#This Row],[iAMI]])),"")</f>
        <v/>
      </c>
      <c r="P48" s="1058" t="str">
        <f t="array" ref="P48">IF(Cdlac[[#This Row],[Quantity]]&gt;0,INDEX(TcacRents,$P$18,Cdlac[[#This Row],[Bedrooms]]+1)*Cdlac[[#This Row],[AMI]],"")</f>
        <v/>
      </c>
      <c r="Q48" s="1155" t="e">
        <f>+Cdlac[[#This Row],[Restricted Rent]]-100</f>
        <v>#VALUE!</v>
      </c>
      <c r="R48" s="1058" t="str">
        <f t="array" ref="R48">IF(Cdlac[[#This Row],[Quantity]]&gt;0,INDEX(HudFmrs,$P$18,Cdlac[[#This Row],[Bedrooms]]+1),"")</f>
        <v/>
      </c>
      <c r="S48" s="1058" t="str">
        <f>IF(Cdlac[[#This Row],[Quantity]]&gt;0,MAX(0,Cdlac[[#This Row],[Fair Market Rent]]-IF(AND($G$37,$G$38,$G$38&lt;&gt;"",NOT(Cdlac[[#This Row],[Federal]]),Cdlac[[#This Row],[Preservation Rent]]&lt;&gt;""),Cdlac[[#This Row],[Preservation Rent]],Cdlac[[#This Row],[Restricted Rent]])),"")</f>
        <v/>
      </c>
      <c r="T48" s="1038" t="str">
        <f>IF(Cdlac[[#This Row],[Quantity]]&gt;0,AND(Application!AK754&lt;&gt;"N/A",Application!AK754&lt;&gt;"")*Cdlac[[#This Row],[Quantity]],"")</f>
        <v/>
      </c>
      <c r="U48" s="1038" t="b">
        <f>AND('Subsidy Contract Calculation'!F32&gt;0,OR('Subsidy Contract Calculation'!C32="Federal",'Subsidy Contract Calculation'!C32="Local - Approved by ED"),Cdlac[[#This Row],[Quantity]]&gt;0)</f>
        <v>0</v>
      </c>
    </row>
    <row r="49" spans="2:21" ht="15" customHeight="1">
      <c r="B49" s="1059" t="str">
        <f>B11&amp;": "&amp;B12</f>
        <v>C. Population Benefit: (i) Extremely Low Income Benefit</v>
      </c>
      <c r="C49" s="1060"/>
      <c r="D49" s="1060"/>
      <c r="E49" s="1060"/>
      <c r="F49" s="1060"/>
      <c r="G49" s="1060"/>
      <c r="H49" s="1060"/>
      <c r="I49" s="1061"/>
      <c r="L49" s="1038" t="str">
        <f>IFERROR(MIN(4,MATCH(Application!B755,UnitSizes,0)-1),"")</f>
        <v/>
      </c>
      <c r="M49" s="1058">
        <f>Application!G755</f>
        <v>0</v>
      </c>
      <c r="N49" s="1064">
        <f>Application!AC755</f>
        <v>0</v>
      </c>
      <c r="O49" s="1064" t="str">
        <f>IF(Cdlac[[#This Row],[Quantity]]&gt;0,IF(Cdlac[[#This Row],[Federal]],30%,IF(AND(OR(NOT($G$38),$G$38=""),$G$43),40%,Cdlac[[#This Row],[iAMI]])),"")</f>
        <v/>
      </c>
      <c r="P49" s="1058" t="str">
        <f t="array" ref="P49">IF(Cdlac[[#This Row],[Quantity]]&gt;0,INDEX(TcacRents,$P$18,Cdlac[[#This Row],[Bedrooms]]+1)*Cdlac[[#This Row],[AMI]],"")</f>
        <v/>
      </c>
      <c r="Q49" s="1155" t="e">
        <f>+Cdlac[[#This Row],[Restricted Rent]]-100</f>
        <v>#VALUE!</v>
      </c>
      <c r="R49" s="1058" t="str">
        <f t="array" ref="R49">IF(Cdlac[[#This Row],[Quantity]]&gt;0,INDEX(HudFmrs,$P$18,Cdlac[[#This Row],[Bedrooms]]+1),"")</f>
        <v/>
      </c>
      <c r="S49" s="1058" t="str">
        <f>IF(Cdlac[[#This Row],[Quantity]]&gt;0,MAX(0,Cdlac[[#This Row],[Fair Market Rent]]-IF(AND($G$37,$G$38,$G$38&lt;&gt;"",NOT(Cdlac[[#This Row],[Federal]]),Cdlac[[#This Row],[Preservation Rent]]&lt;&gt;""),Cdlac[[#This Row],[Preservation Rent]],Cdlac[[#This Row],[Restricted Rent]])),"")</f>
        <v/>
      </c>
      <c r="T49" s="1038" t="str">
        <f>IF(Cdlac[[#This Row],[Quantity]]&gt;0,AND(Application!AK755&lt;&gt;"N/A",Application!AK755&lt;&gt;"")*Cdlac[[#This Row],[Quantity]],"")</f>
        <v/>
      </c>
      <c r="U49" s="1038" t="b">
        <f>AND('Subsidy Contract Calculation'!F33&gt;0,OR('Subsidy Contract Calculation'!C33="Federal",'Subsidy Contract Calculation'!C33="Local - Approved by ED"),Cdlac[[#This Row],[Quantity]]&gt;0)</f>
        <v>0</v>
      </c>
    </row>
    <row r="50" spans="2:21" ht="15" customHeight="1">
      <c r="L50" s="1038" t="str">
        <f>IFERROR(MIN(4,MATCH(Application!B756,UnitSizes,0)-1),"")</f>
        <v/>
      </c>
      <c r="M50" s="1058">
        <f>Application!G756</f>
        <v>0</v>
      </c>
      <c r="N50" s="1064">
        <f>Application!AC756</f>
        <v>0</v>
      </c>
      <c r="O50" s="1064" t="str">
        <f>IF(Cdlac[[#This Row],[Quantity]]&gt;0,IF(Cdlac[[#This Row],[Federal]],30%,IF(AND(OR(NOT($G$38),$G$38=""),$G$43),40%,Cdlac[[#This Row],[iAMI]])),"")</f>
        <v/>
      </c>
      <c r="P50" s="1058" t="str">
        <f t="array" ref="P50">IF(Cdlac[[#This Row],[Quantity]]&gt;0,INDEX(TcacRents,$P$18,Cdlac[[#This Row],[Bedrooms]]+1)*Cdlac[[#This Row],[AMI]],"")</f>
        <v/>
      </c>
      <c r="Q50" s="1155" t="e">
        <f>+Cdlac[[#This Row],[Restricted Rent]]-100</f>
        <v>#VALUE!</v>
      </c>
      <c r="R50" s="1058" t="str">
        <f t="array" ref="R50">IF(Cdlac[[#This Row],[Quantity]]&gt;0,INDEX(HudFmrs,$P$18,Cdlac[[#This Row],[Bedrooms]]+1),"")</f>
        <v/>
      </c>
      <c r="S50" s="1058" t="str">
        <f>IF(Cdlac[[#This Row],[Quantity]]&gt;0,MAX(0,Cdlac[[#This Row],[Fair Market Rent]]-IF(AND($G$37,$G$38,$G$38&lt;&gt;"",NOT(Cdlac[[#This Row],[Federal]]),Cdlac[[#This Row],[Preservation Rent]]&lt;&gt;""),Cdlac[[#This Row],[Preservation Rent]],Cdlac[[#This Row],[Restricted Rent]])),"")</f>
        <v/>
      </c>
      <c r="T50" s="1038" t="str">
        <f>IF(Cdlac[[#This Row],[Quantity]]&gt;0,AND(Application!AK756&lt;&gt;"N/A",Application!AK756&lt;&gt;"")*Cdlac[[#This Row],[Quantity]],"")</f>
        <v/>
      </c>
      <c r="U50" s="1038" t="b">
        <f>AND('Subsidy Contract Calculation'!F34&gt;0,OR('Subsidy Contract Calculation'!C34="Federal",'Subsidy Contract Calculation'!C34="Local - Approved by ED"),Cdlac[[#This Row],[Quantity]]&gt;0)</f>
        <v>0</v>
      </c>
    </row>
    <row r="51" spans="2:21" ht="15" customHeight="1">
      <c r="E51" s="1109" t="s">
        <v>53</v>
      </c>
      <c r="G51" s="1072">
        <f>SUMIFS(Cdlac[Quantity],Cdlac[iAMI],"&lt;=30%")</f>
        <v>8</v>
      </c>
      <c r="L51" s="1038" t="str">
        <f>IFERROR(MIN(4,MATCH(Application!B757,UnitSizes,0)-1),"")</f>
        <v/>
      </c>
      <c r="M51" s="1058">
        <f>Application!G757</f>
        <v>0</v>
      </c>
      <c r="N51" s="1064">
        <f>Application!AC757</f>
        <v>0</v>
      </c>
      <c r="O51" s="1064" t="str">
        <f>IF(Cdlac[[#This Row],[Quantity]]&gt;0,IF(Cdlac[[#This Row],[Federal]],30%,IF(AND(OR(NOT($G$38),$G$38=""),$G$43),40%,Cdlac[[#This Row],[iAMI]])),"")</f>
        <v/>
      </c>
      <c r="P51" s="1058" t="str">
        <f t="array" ref="P51">IF(Cdlac[[#This Row],[Quantity]]&gt;0,INDEX(TcacRents,$P$18,Cdlac[[#This Row],[Bedrooms]]+1)*Cdlac[[#This Row],[AMI]],"")</f>
        <v/>
      </c>
      <c r="Q51" s="1155" t="e">
        <f>+Cdlac[[#This Row],[Restricted Rent]]-100</f>
        <v>#VALUE!</v>
      </c>
      <c r="R51" s="1058" t="str">
        <f t="array" ref="R51">IF(Cdlac[[#This Row],[Quantity]]&gt;0,INDEX(HudFmrs,$P$18,Cdlac[[#This Row],[Bedrooms]]+1),"")</f>
        <v/>
      </c>
      <c r="S51" s="1058" t="str">
        <f>IF(Cdlac[[#This Row],[Quantity]]&gt;0,MAX(0,Cdlac[[#This Row],[Fair Market Rent]]-IF(AND($G$37,$G$38,$G$38&lt;&gt;"",NOT(Cdlac[[#This Row],[Federal]]),Cdlac[[#This Row],[Preservation Rent]]&lt;&gt;""),Cdlac[[#This Row],[Preservation Rent]],Cdlac[[#This Row],[Restricted Rent]])),"")</f>
        <v/>
      </c>
      <c r="T51" s="1038" t="str">
        <f>IF(Cdlac[[#This Row],[Quantity]]&gt;0,AND(Application!AK757&lt;&gt;"N/A",Application!AK757&lt;&gt;"")*Cdlac[[#This Row],[Quantity]],"")</f>
        <v/>
      </c>
      <c r="U51" s="1038" t="b">
        <f>AND('Subsidy Contract Calculation'!F35&gt;0,OR('Subsidy Contract Calculation'!C35="Federal",'Subsidy Contract Calculation'!C35="Local - Approved by ED"),Cdlac[[#This Row],[Quantity]]&gt;0)</f>
        <v>0</v>
      </c>
    </row>
    <row r="52" spans="2:21" ht="15" customHeight="1">
      <c r="E52" s="1109" t="s">
        <v>54</v>
      </c>
      <c r="G52" s="1072">
        <f>ROUNDDOWN(E29*50%,0)</f>
        <v>32</v>
      </c>
      <c r="L52" s="1038" t="str">
        <f>IFERROR(MIN(4,MATCH(Application!B758,UnitSizes,0)-1),"")</f>
        <v/>
      </c>
      <c r="M52" s="1058">
        <f>Application!G758</f>
        <v>0</v>
      </c>
      <c r="N52" s="1064">
        <f>Application!AC758</f>
        <v>0</v>
      </c>
      <c r="O52" s="1064" t="str">
        <f>IF(Cdlac[[#This Row],[Quantity]]&gt;0,IF(Cdlac[[#This Row],[Federal]],30%,IF(AND(OR(NOT($G$38),$G$38=""),$G$43),40%,Cdlac[[#This Row],[iAMI]])),"")</f>
        <v/>
      </c>
      <c r="P52" s="1058" t="str">
        <f t="array" ref="P52">IF(Cdlac[[#This Row],[Quantity]]&gt;0,INDEX(TcacRents,$P$18,Cdlac[[#This Row],[Bedrooms]]+1)*Cdlac[[#This Row],[AMI]],"")</f>
        <v/>
      </c>
      <c r="Q52" s="1155" t="e">
        <f>+Cdlac[[#This Row],[Restricted Rent]]-100</f>
        <v>#VALUE!</v>
      </c>
      <c r="R52" s="1058" t="str">
        <f t="array" ref="R52">IF(Cdlac[[#This Row],[Quantity]]&gt;0,INDEX(HudFmrs,$P$18,Cdlac[[#This Row],[Bedrooms]]+1),"")</f>
        <v/>
      </c>
      <c r="S52" s="1058" t="str">
        <f>IF(Cdlac[[#This Row],[Quantity]]&gt;0,MAX(0,Cdlac[[#This Row],[Fair Market Rent]]-IF(AND($G$37,$G$38,$G$38&lt;&gt;"",NOT(Cdlac[[#This Row],[Federal]]),Cdlac[[#This Row],[Preservation Rent]]&lt;&gt;""),Cdlac[[#This Row],[Preservation Rent]],Cdlac[[#This Row],[Restricted Rent]])),"")</f>
        <v/>
      </c>
      <c r="T52" s="1038" t="str">
        <f>IF(Cdlac[[#This Row],[Quantity]]&gt;0,AND(Application!AK758&lt;&gt;"N/A",Application!AK758&lt;&gt;"")*Cdlac[[#This Row],[Quantity]],"")</f>
        <v/>
      </c>
      <c r="U52" s="1038" t="b">
        <f>AND('Subsidy Contract Calculation'!F36&gt;0,OR('Subsidy Contract Calculation'!C36="Federal",'Subsidy Contract Calculation'!C36="Local - Approved by ED"),Cdlac[[#This Row],[Quantity]]&gt;0)</f>
        <v>0</v>
      </c>
    </row>
    <row r="53" spans="2:21" ht="15" customHeight="1">
      <c r="E53" s="1109"/>
      <c r="G53" s="1072"/>
      <c r="L53" s="1038" t="str">
        <f>IFERROR(MIN(4,MATCH(Application!B759,UnitSizes,0)-1),"")</f>
        <v/>
      </c>
      <c r="M53" s="1058">
        <f>Application!G759</f>
        <v>0</v>
      </c>
      <c r="N53" s="1064">
        <f>Application!AC759</f>
        <v>0</v>
      </c>
      <c r="O53" s="1064" t="str">
        <f>IF(Cdlac[[#This Row],[Quantity]]&gt;0,IF(Cdlac[[#This Row],[Federal]],30%,IF(AND(OR(NOT($G$38),$G$38=""),$G$43),40%,Cdlac[[#This Row],[iAMI]])),"")</f>
        <v/>
      </c>
      <c r="P53" s="1058" t="str">
        <f t="array" ref="P53">IF(Cdlac[[#This Row],[Quantity]]&gt;0,INDEX(TcacRents,$P$18,Cdlac[[#This Row],[Bedrooms]]+1)*Cdlac[[#This Row],[AMI]],"")</f>
        <v/>
      </c>
      <c r="Q53" s="1155" t="e">
        <f>+Cdlac[[#This Row],[Restricted Rent]]-100</f>
        <v>#VALUE!</v>
      </c>
      <c r="R53" s="1058" t="str">
        <f t="array" ref="R53">IF(Cdlac[[#This Row],[Quantity]]&gt;0,INDEX(HudFmrs,$P$18,Cdlac[[#This Row],[Bedrooms]]+1),"")</f>
        <v/>
      </c>
      <c r="S53" s="1058" t="str">
        <f>IF(Cdlac[[#This Row],[Quantity]]&gt;0,MAX(0,Cdlac[[#This Row],[Fair Market Rent]]-IF(AND($G$37,$G$38,$G$38&lt;&gt;"",NOT(Cdlac[[#This Row],[Federal]]),Cdlac[[#This Row],[Preservation Rent]]&lt;&gt;""),Cdlac[[#This Row],[Preservation Rent]],Cdlac[[#This Row],[Restricted Rent]])),"")</f>
        <v/>
      </c>
      <c r="T53" s="1038" t="str">
        <f>IF(Cdlac[[#This Row],[Quantity]]&gt;0,AND(Application!AK759&lt;&gt;"N/A",Application!AK759&lt;&gt;"")*Cdlac[[#This Row],[Quantity]],"")</f>
        <v/>
      </c>
      <c r="U53" s="1038" t="b">
        <f>AND('Subsidy Contract Calculation'!F37&gt;0,OR('Subsidy Contract Calculation'!C37="Federal",'Subsidy Contract Calculation'!C37="Local - Approved by ED"),Cdlac[[#This Row],[Quantity]]&gt;0)</f>
        <v>0</v>
      </c>
    </row>
    <row r="54" spans="2:21" ht="15" customHeight="1">
      <c r="E54" s="1109" t="s">
        <v>55</v>
      </c>
      <c r="G54" s="1106">
        <f>MIN(G51:G52)</f>
        <v>8</v>
      </c>
      <c r="L54" s="1038" t="str">
        <f>IFERROR(MIN(4,MATCH(Application!B760,UnitSizes,0)-1),"")</f>
        <v/>
      </c>
      <c r="M54" s="1058">
        <f>Application!G760</f>
        <v>0</v>
      </c>
      <c r="N54" s="1064">
        <f>Application!AC760</f>
        <v>0</v>
      </c>
      <c r="O54" s="1064" t="str">
        <f>IF(Cdlac[[#This Row],[Quantity]]&gt;0,IF(Cdlac[[#This Row],[Federal]],30%,IF(AND(OR(NOT($G$38),$G$38=""),$G$43),40%,Cdlac[[#This Row],[iAMI]])),"")</f>
        <v/>
      </c>
      <c r="P54" s="1058" t="str">
        <f t="array" ref="P54">IF(Cdlac[[#This Row],[Quantity]]&gt;0,INDEX(TcacRents,$P$18,Cdlac[[#This Row],[Bedrooms]]+1)*Cdlac[[#This Row],[AMI]],"")</f>
        <v/>
      </c>
      <c r="Q54" s="1155" t="e">
        <f>+Cdlac[[#This Row],[Restricted Rent]]-100</f>
        <v>#VALUE!</v>
      </c>
      <c r="R54" s="1058" t="str">
        <f t="array" ref="R54">IF(Cdlac[[#This Row],[Quantity]]&gt;0,INDEX(HudFmrs,$P$18,Cdlac[[#This Row],[Bedrooms]]+1),"")</f>
        <v/>
      </c>
      <c r="S54" s="1058" t="str">
        <f>IF(Cdlac[[#This Row],[Quantity]]&gt;0,MAX(0,Cdlac[[#This Row],[Fair Market Rent]]-IF(AND($G$37,$G$38,$G$38&lt;&gt;"",NOT(Cdlac[[#This Row],[Federal]]),Cdlac[[#This Row],[Preservation Rent]]&lt;&gt;""),Cdlac[[#This Row],[Preservation Rent]],Cdlac[[#This Row],[Restricted Rent]])),"")</f>
        <v/>
      </c>
      <c r="T54" s="1038" t="str">
        <f>IF(Cdlac[[#This Row],[Quantity]]&gt;0,AND(Application!AK760&lt;&gt;"N/A",Application!AK760&lt;&gt;"")*Cdlac[[#This Row],[Quantity]],"")</f>
        <v/>
      </c>
      <c r="U54" s="1038" t="b">
        <f>AND('Subsidy Contract Calculation'!F38&gt;0,OR('Subsidy Contract Calculation'!C38="Federal",'Subsidy Contract Calculation'!C38="Local - Approved by ED"),Cdlac[[#This Row],[Quantity]]&gt;0)</f>
        <v>0</v>
      </c>
    </row>
    <row r="55" spans="2:21" ht="15" customHeight="1">
      <c r="E55" s="1109" t="s">
        <v>43</v>
      </c>
      <c r="F55" s="1105" t="s">
        <v>44</v>
      </c>
      <c r="G55" s="1116">
        <v>20000</v>
      </c>
      <c r="M55" s="1058"/>
      <c r="N55" s="1064"/>
      <c r="O55" s="1064"/>
      <c r="P55" s="1058"/>
      <c r="Q55" s="1155"/>
      <c r="R55" s="1058"/>
      <c r="S55" s="1058"/>
    </row>
    <row r="56" spans="2:21" ht="15" customHeight="1">
      <c r="E56" s="1110" t="s">
        <v>56</v>
      </c>
      <c r="F56" s="1040"/>
      <c r="G56" s="1115">
        <f>G54*G55</f>
        <v>160000</v>
      </c>
    </row>
    <row r="57" spans="2:21" ht="15" customHeight="1"/>
    <row r="58" spans="2:21" ht="15" customHeight="1">
      <c r="B58" s="1059" t="str">
        <f>B11&amp;": "&amp;B13</f>
        <v>C. Population Benefit: (ii) Special Populations Benefit</v>
      </c>
      <c r="C58" s="1060"/>
      <c r="D58" s="1060"/>
      <c r="E58" s="1060"/>
      <c r="F58" s="1060"/>
      <c r="G58" s="1060"/>
      <c r="H58" s="1060"/>
      <c r="I58" s="1061"/>
    </row>
    <row r="59" spans="2:21" ht="15" customHeight="1"/>
    <row r="60" spans="2:21" ht="15" customHeight="1">
      <c r="E60" s="1109" t="s">
        <v>57</v>
      </c>
      <c r="G60" s="1197">
        <f>T18</f>
        <v>0</v>
      </c>
    </row>
    <row r="61" spans="2:21" ht="15" customHeight="1">
      <c r="E61" s="1109" t="s">
        <v>54</v>
      </c>
      <c r="G61" s="1106">
        <f>ROUNDDOWN(E29*50%,0)</f>
        <v>32</v>
      </c>
    </row>
    <row r="62" spans="2:21" ht="15" customHeight="1">
      <c r="E62" s="1109"/>
      <c r="G62" s="1117"/>
    </row>
    <row r="63" spans="2:21" ht="15" customHeight="1">
      <c r="E63" s="1109" t="s">
        <v>55</v>
      </c>
      <c r="G63" s="1106">
        <f>MIN(G60:G61)</f>
        <v>0</v>
      </c>
    </row>
    <row r="64" spans="2:21" ht="15" customHeight="1">
      <c r="E64" s="1109" t="s">
        <v>43</v>
      </c>
      <c r="F64" s="1105" t="s">
        <v>44</v>
      </c>
      <c r="G64" s="1116">
        <v>10000</v>
      </c>
    </row>
    <row r="65" spans="5:7" ht="15" customHeight="1">
      <c r="E65" s="1110" t="s">
        <v>58</v>
      </c>
      <c r="F65" s="1040"/>
      <c r="G65" s="1115">
        <f>G63*G64</f>
        <v>0</v>
      </c>
    </row>
    <row r="66" spans="5:7" ht="15" customHeight="1">
      <c r="E66" s="1110"/>
      <c r="F66" s="1040"/>
      <c r="G66" s="1115"/>
    </row>
    <row r="67" spans="5:7" ht="15" customHeight="1">
      <c r="E67" s="1077" t="s">
        <v>59</v>
      </c>
      <c r="G67" s="1038" t="b">
        <f>Application!V227="Yes"</f>
        <v>0</v>
      </c>
    </row>
    <row r="68" spans="5:7" ht="15" customHeight="1">
      <c r="E68" s="1077" t="s">
        <v>60</v>
      </c>
      <c r="G68" s="1197">
        <f>SUMIF(Application!AK726:AK760,"Homeless",Application!G726:G760)</f>
        <v>0</v>
      </c>
    </row>
    <row r="69" spans="5:7" ht="15" customHeight="1">
      <c r="E69" s="1077" t="s">
        <v>53</v>
      </c>
    </row>
    <row r="70" spans="5:7" ht="15" customHeight="1">
      <c r="E70" s="1077" t="s">
        <v>61</v>
      </c>
      <c r="G70" s="1198"/>
    </row>
    <row r="71" spans="5:7" ht="15" customHeight="1">
      <c r="E71" s="1077" t="s">
        <v>62</v>
      </c>
      <c r="G71" s="1198"/>
    </row>
    <row r="72" spans="5:7" ht="15" customHeight="1">
      <c r="E72" s="1077" t="s">
        <v>63</v>
      </c>
      <c r="G72" s="1197">
        <f>IF(G71=0,0,(G70/G71)*100000)</f>
        <v>0</v>
      </c>
    </row>
    <row r="73" spans="5:7" ht="15" customHeight="1">
      <c r="E73" s="1077" t="s">
        <v>64</v>
      </c>
      <c r="G73" s="1198"/>
    </row>
    <row r="74" spans="5:7" ht="15" customHeight="1">
      <c r="E74" s="1077" t="s">
        <v>65</v>
      </c>
      <c r="G74" s="1198"/>
    </row>
    <row r="75" spans="5:7" ht="15" customHeight="1">
      <c r="E75" s="1077" t="s">
        <v>66</v>
      </c>
      <c r="G75" s="1197">
        <f>IF(G74=0,0,(G73/G74)*100000)</f>
        <v>0</v>
      </c>
    </row>
    <row r="76" spans="5:7" ht="15" customHeight="1">
      <c r="E76" s="1110"/>
      <c r="F76" s="1040"/>
      <c r="G76" s="1115"/>
    </row>
    <row r="77" spans="5:7" ht="15" customHeight="1">
      <c r="E77" s="1109" t="s">
        <v>55</v>
      </c>
      <c r="G77" s="1106">
        <f>IF(OR(G75&gt;G72,G71&lt;100000),G75*G68,G72*G68)</f>
        <v>0</v>
      </c>
    </row>
    <row r="78" spans="5:7" ht="15" customHeight="1">
      <c r="E78" s="1109" t="s">
        <v>43</v>
      </c>
      <c r="F78" s="1105" t="s">
        <v>44</v>
      </c>
      <c r="G78" s="1116">
        <v>100</v>
      </c>
    </row>
    <row r="79" spans="5:7" ht="15" customHeight="1">
      <c r="E79" s="1110" t="s">
        <v>58</v>
      </c>
      <c r="F79" s="1040"/>
      <c r="G79" s="1115">
        <f>G77*G78</f>
        <v>0</v>
      </c>
    </row>
    <row r="80" spans="5:7" ht="15" customHeight="1">
      <c r="E80" s="1110"/>
      <c r="F80" s="1040"/>
      <c r="G80" s="1115"/>
    </row>
    <row r="81" spans="2:14" ht="15" customHeight="1">
      <c r="B81" s="1059" t="str">
        <f>B14&amp;": "&amp;B15</f>
        <v>D. Location Benefit: (i) Resource Area Benefit</v>
      </c>
      <c r="C81" s="1060"/>
      <c r="D81" s="1060"/>
      <c r="E81" s="1060"/>
      <c r="F81" s="1060"/>
      <c r="G81" s="1060"/>
      <c r="H81" s="1060"/>
      <c r="I81" s="1061"/>
    </row>
    <row r="82" spans="2:14" ht="15" customHeight="1" thickBot="1"/>
    <row r="83" spans="2:14" ht="15" customHeight="1">
      <c r="C83" s="1070" t="s">
        <v>67</v>
      </c>
      <c r="G83" s="1037" t="s">
        <v>811</v>
      </c>
      <c r="L83" s="1271" t="s">
        <v>68</v>
      </c>
      <c r="M83" s="1272"/>
      <c r="N83" s="1123">
        <v>30000</v>
      </c>
    </row>
    <row r="84" spans="2:14" ht="15" customHeight="1">
      <c r="C84" s="1070" t="s">
        <v>69</v>
      </c>
      <c r="G84" s="1074" t="str">
        <f>IF(Application!D211="Large Family","Yes","No")</f>
        <v>Yes</v>
      </c>
      <c r="L84" s="1281" t="s">
        <v>70</v>
      </c>
      <c r="M84" s="1264"/>
      <c r="N84" s="1124">
        <v>20000</v>
      </c>
    </row>
    <row r="85" spans="2:14" ht="15" customHeight="1" thickBot="1">
      <c r="C85" s="1070" t="s">
        <v>71</v>
      </c>
      <c r="G85" s="1037" t="s">
        <v>811</v>
      </c>
      <c r="L85" s="1278" t="s">
        <v>72</v>
      </c>
      <c r="M85" s="1279"/>
      <c r="N85" s="1125">
        <v>10000</v>
      </c>
    </row>
    <row r="86" spans="2:14" ht="15" customHeight="1" thickBot="1">
      <c r="C86" s="1070" t="s">
        <v>73</v>
      </c>
      <c r="G86" s="1038" t="str">
        <f>Application!T193</f>
        <v>Low Resource</v>
      </c>
      <c r="L86" t="s">
        <v>68</v>
      </c>
      <c r="N86">
        <v>30000</v>
      </c>
    </row>
    <row r="87" spans="2:14" ht="15" customHeight="1">
      <c r="C87" s="1283" t="s">
        <v>74</v>
      </c>
      <c r="D87" s="1270"/>
      <c r="E87" s="1270"/>
      <c r="F87" s="1270"/>
      <c r="G87" s="1037" t="s">
        <v>811</v>
      </c>
      <c r="L87" s="1119" t="str">
        <f>'Points System'!H651</f>
        <v>N/A</v>
      </c>
      <c r="M87" s="1284" t="s">
        <v>75</v>
      </c>
      <c r="N87" s="1285"/>
    </row>
    <row r="88" spans="2:14" ht="15" customHeight="1">
      <c r="C88" s="1270"/>
      <c r="D88" s="1270"/>
      <c r="E88" s="1270"/>
      <c r="F88" s="1270"/>
      <c r="L88" s="1120" t="str">
        <f>'Points System'!H663</f>
        <v>(ii)</v>
      </c>
      <c r="M88" s="1267" t="s">
        <v>76</v>
      </c>
      <c r="N88" s="1268"/>
    </row>
    <row r="89" spans="2:14" ht="15" customHeight="1">
      <c r="C89" s="1070"/>
      <c r="L89" s="1120" t="str">
        <f>'Points System'!H698</f>
        <v>N/A</v>
      </c>
      <c r="M89" s="1267" t="s">
        <v>77</v>
      </c>
      <c r="N89" s="1268"/>
    </row>
    <row r="90" spans="2:14" ht="15" customHeight="1">
      <c r="E90" s="1077" t="s">
        <v>78</v>
      </c>
      <c r="G90" s="1072" t="b">
        <f>OR(AND(COUNTIFS(G84:G85,"Yes")&gt;=1,G83="Yes"),G87="Yes")</f>
        <v>0</v>
      </c>
      <c r="L90" s="1120" t="str">
        <f>IF(OR('Points System'!H722="(ii)",'Points System'!H722="(i)"),"(i)","N/A")</f>
        <v>N/A</v>
      </c>
      <c r="M90" s="1267" t="s">
        <v>79</v>
      </c>
      <c r="N90" s="1268"/>
    </row>
    <row r="91" spans="2:14" ht="15" customHeight="1">
      <c r="E91" s="1077"/>
      <c r="G91" s="1072"/>
      <c r="L91" s="1121" t="str">
        <f>'Points System'!H736</f>
        <v>N/A</v>
      </c>
      <c r="M91" s="1267" t="s">
        <v>80</v>
      </c>
      <c r="N91" s="1268"/>
    </row>
    <row r="92" spans="2:14" ht="15" customHeight="1">
      <c r="E92" s="1077" t="s">
        <v>43</v>
      </c>
      <c r="G92" s="1071">
        <f>IFERROR(IF($G$87="Yes",30000,INDEX(N83:N85,MATCH(LEFT(G86,17),L83:L85,0))),0)</f>
        <v>0</v>
      </c>
      <c r="L92" s="1120" t="str">
        <f>'Points System'!H748</f>
        <v>N/A</v>
      </c>
      <c r="M92" s="1267" t="s">
        <v>81</v>
      </c>
      <c r="N92" s="1268"/>
    </row>
    <row r="93" spans="2:14" ht="15" customHeight="1">
      <c r="E93" s="1077" t="str">
        <f>E110</f>
        <v>Bedroom-Adjusted Low-Income Units</v>
      </c>
      <c r="F93" s="1105" t="s">
        <v>44</v>
      </c>
      <c r="G93" s="1106">
        <f>G29</f>
        <v>84.75</v>
      </c>
      <c r="L93" s="1120" t="str">
        <f>'Points System'!H764</f>
        <v>N/A</v>
      </c>
      <c r="M93" s="1267" t="s">
        <v>82</v>
      </c>
      <c r="N93" s="1268"/>
    </row>
    <row r="94" spans="2:14" ht="15" customHeight="1" thickBot="1">
      <c r="D94" s="1040"/>
      <c r="E94" s="1110" t="s">
        <v>83</v>
      </c>
      <c r="F94" s="1040"/>
      <c r="G94" s="1115">
        <f>G93*G92*G90</f>
        <v>0</v>
      </c>
      <c r="L94" s="1122" t="str">
        <f>'Points System'!H776</f>
        <v>(ii)</v>
      </c>
      <c r="M94" s="1265" t="s">
        <v>84</v>
      </c>
      <c r="N94" s="1266"/>
    </row>
    <row r="95" spans="2:14" ht="15" customHeight="1"/>
    <row r="96" spans="2:14" ht="15" customHeight="1">
      <c r="B96" s="1059" t="str">
        <f>B14&amp;": "&amp;B16</f>
        <v>D. Location Benefit: (ii) Community Revitalization Benefit</v>
      </c>
      <c r="C96" s="1060"/>
      <c r="D96" s="1060"/>
      <c r="E96" s="1060"/>
      <c r="F96" s="1060"/>
      <c r="G96" s="1060"/>
      <c r="H96" s="1060"/>
      <c r="I96" s="1061"/>
    </row>
    <row r="97" spans="2:13" ht="15" customHeight="1"/>
    <row r="98" spans="2:13" ht="15" customHeight="1">
      <c r="F98" s="1108" t="s">
        <v>85</v>
      </c>
      <c r="G98" s="1037" t="s">
        <v>969</v>
      </c>
    </row>
    <row r="99" spans="2:13" ht="15" customHeight="1">
      <c r="F99" s="1108"/>
    </row>
    <row r="100" spans="2:13" ht="15" customHeight="1">
      <c r="E100" s="1077" t="s">
        <v>78</v>
      </c>
      <c r="G100" s="1072" t="b">
        <f>G98="Yes"</f>
        <v>1</v>
      </c>
    </row>
    <row r="101" spans="2:13" ht="15" customHeight="1"/>
    <row r="102" spans="2:13" ht="15" customHeight="1">
      <c r="E102" s="1077" t="str">
        <f>E110</f>
        <v>Bedroom-Adjusted Low-Income Units</v>
      </c>
      <c r="G102" s="1106">
        <f>G29</f>
        <v>84.75</v>
      </c>
    </row>
    <row r="103" spans="2:13" ht="15" customHeight="1">
      <c r="E103" s="1077" t="s">
        <v>43</v>
      </c>
      <c r="F103" s="1105" t="s">
        <v>44</v>
      </c>
      <c r="G103" s="1044">
        <v>20000</v>
      </c>
    </row>
    <row r="104" spans="2:13" ht="15" customHeight="1">
      <c r="E104" s="1110" t="s">
        <v>86</v>
      </c>
      <c r="F104" s="1040"/>
      <c r="G104" s="1115">
        <f>G100*G103*G102</f>
        <v>1695000</v>
      </c>
    </row>
    <row r="105" spans="2:13" ht="15" customHeight="1"/>
    <row r="106" spans="2:13" ht="15" customHeight="1">
      <c r="B106" s="1059" t="str">
        <f>B14&amp;": "&amp;B17</f>
        <v>D. Location Benefit: (iii) Transit/Walkability Benefit</v>
      </c>
      <c r="C106" s="1060"/>
      <c r="D106" s="1060"/>
      <c r="E106" s="1060"/>
      <c r="F106" s="1060"/>
      <c r="G106" s="1060"/>
      <c r="H106" s="1060"/>
      <c r="I106" s="1061"/>
    </row>
    <row r="107" spans="2:13" ht="15" customHeight="1"/>
    <row r="108" spans="2:13" ht="15" customHeight="1">
      <c r="E108" s="1077" t="s">
        <v>87</v>
      </c>
      <c r="F108" t="s">
        <v>85</v>
      </c>
      <c r="G108" s="1106">
        <f>VLOOKUP('Points System'!$H$619,'Points System'!$AO$599:$AP$604,2,FALSE)</f>
        <v>7</v>
      </c>
    </row>
    <row r="109" spans="2:13" ht="15" customHeight="1">
      <c r="E109" s="1077" t="s">
        <v>43</v>
      </c>
      <c r="F109" s="1105" t="s">
        <v>44</v>
      </c>
      <c r="G109" s="1069">
        <v>4000</v>
      </c>
    </row>
    <row r="110" spans="2:13" ht="15" customHeight="1">
      <c r="E110" s="1077" t="s">
        <v>88</v>
      </c>
      <c r="F110" s="1105" t="s">
        <v>44</v>
      </c>
      <c r="G110" s="1118">
        <f>G29</f>
        <v>84.75</v>
      </c>
    </row>
    <row r="111" spans="2:13" ht="15" customHeight="1">
      <c r="E111" s="1110" t="s">
        <v>89</v>
      </c>
      <c r="F111" s="1040"/>
      <c r="G111" s="1115">
        <f>G108*G109*G110</f>
        <v>2373000</v>
      </c>
      <c r="M111" t="s">
        <v>75</v>
      </c>
    </row>
    <row r="112" spans="2:13" ht="15" customHeight="1">
      <c r="C112" s="1070"/>
      <c r="G112" s="1106"/>
      <c r="M112" t="s">
        <v>76</v>
      </c>
    </row>
    <row r="113" spans="2:13" ht="15" customHeight="1">
      <c r="E113" s="1077" t="s">
        <v>90</v>
      </c>
      <c r="G113" s="1106">
        <f>COUNTIFS(L87:L94,"(i)")</f>
        <v>0</v>
      </c>
      <c r="M113" t="s">
        <v>77</v>
      </c>
    </row>
    <row r="114" spans="2:13" ht="15" customHeight="1">
      <c r="E114" s="1077" t="s">
        <v>43</v>
      </c>
      <c r="F114" s="1105" t="s">
        <v>44</v>
      </c>
      <c r="G114" s="1116">
        <v>4000</v>
      </c>
      <c r="M114" t="s">
        <v>79</v>
      </c>
    </row>
    <row r="115" spans="2:13" ht="15" customHeight="1">
      <c r="E115" s="1110" t="s">
        <v>91</v>
      </c>
      <c r="F115" s="1040"/>
      <c r="G115" s="1115">
        <f>G110*G113*G114</f>
        <v>0</v>
      </c>
      <c r="M115" t="s">
        <v>80</v>
      </c>
    </row>
    <row r="116" spans="2:13" ht="15" customHeight="1">
      <c r="M116" t="s">
        <v>81</v>
      </c>
    </row>
    <row r="117" spans="2:13" ht="15" customHeight="1">
      <c r="C117" s="1073" t="s">
        <v>92</v>
      </c>
      <c r="M117" t="s">
        <v>82</v>
      </c>
    </row>
    <row r="118" spans="2:13" ht="15" customHeight="1">
      <c r="C118" s="1070" t="s">
        <v>93</v>
      </c>
      <c r="G118" s="1037"/>
      <c r="M118" t="s">
        <v>84</v>
      </c>
    </row>
    <row r="119" spans="2:13" ht="15" customHeight="1">
      <c r="C119" s="1070" t="s">
        <v>94</v>
      </c>
      <c r="G119" s="1037"/>
    </row>
    <row r="120" spans="2:13" ht="15" customHeight="1">
      <c r="C120" s="1070" t="s">
        <v>95</v>
      </c>
      <c r="G120" s="1037" t="s">
        <v>969</v>
      </c>
    </row>
    <row r="121" spans="2:13">
      <c r="C121" s="1070" t="s">
        <v>96</v>
      </c>
      <c r="G121" s="1037"/>
    </row>
    <row r="123" spans="2:13">
      <c r="B123" s="1071"/>
      <c r="C123" s="1070"/>
      <c r="E123" s="1077" t="s">
        <v>78</v>
      </c>
      <c r="G123" s="1072" t="b">
        <f>COUNTIFS(G118:G121,"Yes")&gt;=1</f>
        <v>1</v>
      </c>
    </row>
    <row r="124" spans="2:13">
      <c r="E124" s="1070"/>
    </row>
    <row r="125" spans="2:13" ht="14.4" customHeight="1">
      <c r="E125" s="1077" t="s">
        <v>88</v>
      </c>
      <c r="F125" s="1105" t="s">
        <v>44</v>
      </c>
      <c r="G125" s="1106">
        <f>G29</f>
        <v>84.75</v>
      </c>
    </row>
    <row r="126" spans="2:13" ht="14.4" customHeight="1">
      <c r="E126" s="1077" t="s">
        <v>43</v>
      </c>
      <c r="F126" s="1105" t="s">
        <v>44</v>
      </c>
      <c r="G126" s="1116">
        <v>25000</v>
      </c>
    </row>
    <row r="127" spans="2:13">
      <c r="E127" s="1110" t="s">
        <v>97</v>
      </c>
      <c r="F127" s="1040"/>
      <c r="G127" s="1115">
        <f>G123*G126*G110</f>
        <v>2118750</v>
      </c>
    </row>
    <row r="128" spans="2:13">
      <c r="C128" s="1070"/>
      <c r="E128" s="1070"/>
    </row>
    <row r="129" spans="2:9">
      <c r="E129" s="1110" t="s">
        <v>98</v>
      </c>
      <c r="G129" s="1115">
        <f>G127+G115+G111</f>
        <v>4491750</v>
      </c>
    </row>
    <row r="131" spans="2:9">
      <c r="B131" s="1059" t="s">
        <v>99</v>
      </c>
      <c r="C131" s="1060"/>
      <c r="D131" s="1060"/>
      <c r="E131" s="1060"/>
      <c r="F131" s="1060"/>
      <c r="G131" s="1060"/>
      <c r="H131" s="1060"/>
      <c r="I131" s="1061"/>
    </row>
    <row r="133" spans="2:9">
      <c r="C133" s="1280" t="s">
        <v>100</v>
      </c>
      <c r="D133" s="1270"/>
      <c r="E133" s="1270"/>
      <c r="F133" s="1270"/>
    </row>
    <row r="134" spans="2:9">
      <c r="C134" s="1270"/>
      <c r="D134" s="1270"/>
      <c r="E134" s="1270"/>
      <c r="F134" s="1270"/>
      <c r="G134" s="1037"/>
    </row>
    <row r="135" spans="2:9" ht="14.25" customHeight="1"/>
    <row r="136" spans="2:9">
      <c r="C136" s="1038" t="s">
        <v>101</v>
      </c>
      <c r="G136" s="1292"/>
      <c r="H136" s="1293"/>
    </row>
    <row r="137" spans="2:9">
      <c r="G137" s="1293"/>
      <c r="H137" s="1293"/>
    </row>
    <row r="138" spans="2:9">
      <c r="G138" s="1294"/>
      <c r="H138" s="1294"/>
    </row>
    <row r="140" spans="2:9">
      <c r="C140" s="1280" t="s">
        <v>102</v>
      </c>
      <c r="D140" s="1270"/>
      <c r="E140" s="1270"/>
      <c r="F140" s="1270"/>
    </row>
    <row r="141" spans="2:9">
      <c r="C141" s="1270"/>
      <c r="D141" s="1270"/>
      <c r="E141" s="1270"/>
      <c r="F141" s="1270"/>
      <c r="G141" s="1037"/>
    </row>
    <row r="142" spans="2:9">
      <c r="C142" s="1270"/>
      <c r="D142" s="1270"/>
      <c r="E142" s="1270"/>
      <c r="F142" s="1270"/>
    </row>
    <row r="144" spans="2:9">
      <c r="C144" s="1280" t="s">
        <v>103</v>
      </c>
      <c r="D144" s="1270"/>
      <c r="E144" s="1270"/>
      <c r="F144" s="1270"/>
    </row>
    <row r="145" spans="2:9">
      <c r="C145" s="1270"/>
      <c r="D145" s="1270"/>
      <c r="E145" s="1270"/>
      <c r="F145" s="1270"/>
      <c r="G145" s="1037"/>
    </row>
    <row r="146" spans="2:9">
      <c r="C146" s="1270"/>
      <c r="D146" s="1270"/>
      <c r="E146" s="1270"/>
      <c r="F146" s="1270"/>
    </row>
    <row r="147" spans="2:9">
      <c r="C147" s="1270"/>
      <c r="D147" s="1270"/>
      <c r="E147" s="1270"/>
      <c r="F147" s="1270"/>
    </row>
    <row r="149" spans="2:9">
      <c r="B149" s="1059" t="s">
        <v>104</v>
      </c>
      <c r="C149" s="1060"/>
      <c r="D149" s="1060"/>
      <c r="E149" s="1060"/>
      <c r="F149" s="1060"/>
      <c r="G149" s="1060"/>
      <c r="H149" s="1060"/>
      <c r="I149" s="1061"/>
    </row>
    <row r="151" spans="2:9">
      <c r="E151" s="1077" t="s">
        <v>26</v>
      </c>
      <c r="G151" s="1038" t="str">
        <f>IF(Application!T189="","",Application!T189)</f>
        <v>Los Angeles</v>
      </c>
    </row>
    <row r="152" spans="2:9">
      <c r="E152" s="1077"/>
      <c r="G152" s="1071"/>
    </row>
    <row r="153" spans="2:9">
      <c r="E153" s="1077" t="str">
        <f>"2-Bedroom "&amp;G151&amp;" County Basis Limit"</f>
        <v>2-Bedroom Los Angeles County Basis Limit</v>
      </c>
      <c r="G153" s="1071">
        <f>Application!R997</f>
        <v>608800</v>
      </c>
    </row>
    <row r="154" spans="2:9">
      <c r="E154" s="1077" t="s">
        <v>105</v>
      </c>
      <c r="G154" s="1071">
        <f>MEDIAN((Application!CU160:CU217))</f>
        <v>560000</v>
      </c>
    </row>
    <row r="155" spans="2:9">
      <c r="D155" s="1040"/>
      <c r="E155" s="1110" t="s">
        <v>106</v>
      </c>
      <c r="F155" s="1126"/>
      <c r="G155" s="1127">
        <f>((G153-G154)/G154)*0.25</f>
        <v>2.1785714285714287E-2</v>
      </c>
      <c r="H155" s="1036"/>
      <c r="I155" s="1036"/>
    </row>
    <row r="156" spans="2:9">
      <c r="D156" s="1039"/>
      <c r="E156" s="1039"/>
    </row>
    <row r="157" spans="2:9">
      <c r="B157" s="1059" t="s">
        <v>107</v>
      </c>
      <c r="C157" s="1060"/>
      <c r="D157" s="1060"/>
      <c r="E157" s="1060"/>
      <c r="F157" s="1060"/>
      <c r="G157" s="1060"/>
      <c r="H157" s="1060"/>
      <c r="I157" s="1061"/>
    </row>
    <row r="159" spans="2:9">
      <c r="E159" s="1077" t="s">
        <v>46</v>
      </c>
      <c r="G159" s="1038" t="b">
        <f>G37</f>
        <v>1</v>
      </c>
    </row>
    <row r="160" spans="2:9">
      <c r="C160" s="1286" t="s">
        <v>108</v>
      </c>
      <c r="D160" s="1270"/>
      <c r="E160" s="1270"/>
      <c r="F160" s="1270"/>
    </row>
    <row r="161" spans="2:7">
      <c r="B161" s="1039"/>
      <c r="C161" s="1270"/>
      <c r="D161" s="1270"/>
      <c r="E161" s="1270"/>
      <c r="F161" s="1270"/>
      <c r="G161" s="1037"/>
    </row>
    <row r="162" spans="2:7">
      <c r="B162" s="1039"/>
      <c r="C162" s="1039"/>
      <c r="D162" s="1039"/>
      <c r="E162" s="1039"/>
      <c r="F162" s="1039"/>
    </row>
    <row r="163" spans="2:7">
      <c r="E163" s="1077" t="s">
        <v>109</v>
      </c>
      <c r="G163" s="1159"/>
    </row>
    <row r="165" spans="2:7">
      <c r="E165" s="1077" t="s">
        <v>110</v>
      </c>
      <c r="G165" s="1064">
        <f>IF(I9=0,0,G163/I9)</f>
        <v>0</v>
      </c>
    </row>
    <row r="166" spans="2:7">
      <c r="E166" s="1077" t="s">
        <v>111</v>
      </c>
      <c r="G166" s="1157">
        <f>I9*0.15</f>
        <v>1271250</v>
      </c>
    </row>
  </sheetData>
  <sheetProtection algorithmName="SHA-512" hashValue="xmpeN+ZrMcaXte7H5pYuUTyidPlD9l3j9lMNz4qPZjSd1FZh3kYAB5a37acK3uh0L9AgH1+IHTuf8DKoaRj2kQ==" saltValue="0Dpc3+xrQJiAd8x5O7baPA==" spinCount="100000" sheet="1" objects="1" scenarios="1"/>
  <mergeCells count="44">
    <mergeCell ref="C160:F161"/>
    <mergeCell ref="E22:E23"/>
    <mergeCell ref="B18:D18"/>
    <mergeCell ref="G8:I8"/>
    <mergeCell ref="B12:D12"/>
    <mergeCell ref="G9:H9"/>
    <mergeCell ref="D22:D23"/>
    <mergeCell ref="G10:H10"/>
    <mergeCell ref="B9:D9"/>
    <mergeCell ref="G136:H138"/>
    <mergeCell ref="B10:D10"/>
    <mergeCell ref="C133:F134"/>
    <mergeCell ref="B11:D11"/>
    <mergeCell ref="B14:D14"/>
    <mergeCell ref="G13:I13"/>
    <mergeCell ref="G11:H11"/>
    <mergeCell ref="A1:J1"/>
    <mergeCell ref="L85:M85"/>
    <mergeCell ref="M89:N89"/>
    <mergeCell ref="C144:F147"/>
    <mergeCell ref="G14:H14"/>
    <mergeCell ref="L84:M84"/>
    <mergeCell ref="B16:D16"/>
    <mergeCell ref="G22:G23"/>
    <mergeCell ref="B8:E8"/>
    <mergeCell ref="M91:N91"/>
    <mergeCell ref="G16:H16"/>
    <mergeCell ref="C87:F88"/>
    <mergeCell ref="M93:N93"/>
    <mergeCell ref="M87:N87"/>
    <mergeCell ref="C140:F142"/>
    <mergeCell ref="F22:F23"/>
    <mergeCell ref="B13:D13"/>
    <mergeCell ref="M94:N94"/>
    <mergeCell ref="M90:N90"/>
    <mergeCell ref="C39:H41"/>
    <mergeCell ref="B15:D15"/>
    <mergeCell ref="L83:M83"/>
    <mergeCell ref="G17:H17"/>
    <mergeCell ref="M88:N88"/>
    <mergeCell ref="C22:C23"/>
    <mergeCell ref="C29:D29"/>
    <mergeCell ref="M92:N92"/>
    <mergeCell ref="B17:D17"/>
  </mergeCells>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41 G145 G161" xr:uid="{00000000-0002-0000-0900-000000000000}">
      <formula1>"Yes"</formula1>
    </dataValidation>
    <dataValidation type="list" allowBlank="1" showInputMessage="1" showErrorMessage="1" sqref="G83 G85 G87 G98" xr:uid="{00000000-0002-0000-0900-000001000000}">
      <formula1>"Yes,No"</formula1>
    </dataValidation>
    <dataValidation type="list" allowBlank="1" showInputMessage="1" showErrorMessage="1" sqref="G38" xr:uid="{00000000-0002-0000-0900-000002000000}">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L46"/>
  <sheetViews>
    <sheetView showGridLines="0" workbookViewId="0">
      <selection activeCell="C4" sqref="C4"/>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8" width="9.109375" style="304" customWidth="1"/>
    <col min="19" max="16384" width="9.109375" style="304"/>
  </cols>
  <sheetData>
    <row r="1" spans="1:12">
      <c r="A1" s="2125" t="s">
        <v>2655</v>
      </c>
      <c r="B1" s="1405"/>
      <c r="C1" s="1405"/>
      <c r="D1" s="1405"/>
      <c r="E1" s="1405"/>
      <c r="F1" s="1405"/>
      <c r="G1" s="1405"/>
      <c r="H1" s="1405"/>
      <c r="I1" s="1405"/>
      <c r="J1" s="1405"/>
      <c r="K1" s="204"/>
      <c r="L1" s="204"/>
    </row>
    <row r="2" spans="1:12">
      <c r="A2" s="210"/>
      <c r="B2" s="210"/>
      <c r="C2" s="210"/>
      <c r="D2" s="210"/>
      <c r="E2" s="210"/>
      <c r="F2" s="210"/>
      <c r="G2" s="210"/>
      <c r="H2" s="210"/>
      <c r="I2" s="210"/>
      <c r="J2" s="210"/>
    </row>
    <row r="3" spans="1:12" ht="83.4" customHeight="1">
      <c r="A3" s="426" t="s">
        <v>2656</v>
      </c>
      <c r="B3" s="426" t="s">
        <v>2657</v>
      </c>
      <c r="C3" s="426" t="s">
        <v>2658</v>
      </c>
      <c r="D3" s="1138" t="s">
        <v>2659</v>
      </c>
      <c r="E3" s="204"/>
      <c r="F3" s="1138" t="s">
        <v>2660</v>
      </c>
      <c r="G3" s="426" t="s">
        <v>2661</v>
      </c>
      <c r="H3" s="427"/>
      <c r="I3" s="426" t="s">
        <v>2662</v>
      </c>
      <c r="J3" s="426" t="s">
        <v>2663</v>
      </c>
      <c r="K3" s="204"/>
      <c r="L3" s="305"/>
    </row>
    <row r="4" spans="1:12">
      <c r="A4" s="428" t="str">
        <f>Application!B726</f>
        <v>1 Bedroom</v>
      </c>
      <c r="B4" s="1075">
        <f>Application!G726</f>
        <v>1</v>
      </c>
      <c r="C4" s="1153"/>
      <c r="D4" s="428">
        <f>Application!O726</f>
        <v>804</v>
      </c>
      <c r="E4" s="429"/>
      <c r="F4" s="1076"/>
      <c r="G4" s="428">
        <f t="shared" ref="G4:G38" si="0">F4*B4</f>
        <v>0</v>
      </c>
      <c r="H4" s="429"/>
      <c r="I4" s="428" t="str">
        <f t="shared" ref="I4:I38" si="1">IF(F4=0,"",(F4-D4))</f>
        <v/>
      </c>
      <c r="J4" s="428" t="str">
        <f t="shared" ref="J4:J38" si="2">IF(F4=0,"",(I4*B4))</f>
        <v/>
      </c>
      <c r="K4" s="204"/>
      <c r="L4" s="305"/>
    </row>
    <row r="5" spans="1:12">
      <c r="A5" s="428" t="str">
        <f>Application!B727</f>
        <v>1 Bedroom</v>
      </c>
      <c r="B5" s="1075">
        <f>Application!G727</f>
        <v>1</v>
      </c>
      <c r="C5" s="1153"/>
      <c r="D5" s="428">
        <f>Application!O727</f>
        <v>1230</v>
      </c>
      <c r="E5" s="429"/>
      <c r="F5" s="1076"/>
      <c r="G5" s="428">
        <f t="shared" si="0"/>
        <v>0</v>
      </c>
      <c r="H5" s="429"/>
      <c r="I5" s="428" t="str">
        <f t="shared" si="1"/>
        <v/>
      </c>
      <c r="J5" s="428" t="str">
        <f t="shared" si="2"/>
        <v/>
      </c>
      <c r="K5" s="204"/>
      <c r="L5" s="305"/>
    </row>
    <row r="6" spans="1:12">
      <c r="A6" s="428" t="str">
        <f>Application!B728</f>
        <v>1 Bedroom</v>
      </c>
      <c r="B6" s="1075">
        <f>Application!G728</f>
        <v>1</v>
      </c>
      <c r="C6" s="1153"/>
      <c r="D6" s="428">
        <f>Application!O728</f>
        <v>1656</v>
      </c>
      <c r="E6" s="429"/>
      <c r="F6" s="1076"/>
      <c r="G6" s="428">
        <f t="shared" si="0"/>
        <v>0</v>
      </c>
      <c r="H6" s="429"/>
      <c r="I6" s="428" t="str">
        <f t="shared" si="1"/>
        <v/>
      </c>
      <c r="J6" s="428" t="str">
        <f t="shared" si="2"/>
        <v/>
      </c>
      <c r="K6" s="204"/>
      <c r="L6" s="305"/>
    </row>
    <row r="7" spans="1:12">
      <c r="A7" s="428" t="str">
        <f>Application!B729</f>
        <v>1 Bedroom</v>
      </c>
      <c r="B7" s="1075">
        <f>Application!G729</f>
        <v>1</v>
      </c>
      <c r="C7" s="1153"/>
      <c r="D7" s="428">
        <f>Application!O729</f>
        <v>804</v>
      </c>
      <c r="E7" s="429"/>
      <c r="F7" s="1076"/>
      <c r="G7" s="428">
        <f t="shared" si="0"/>
        <v>0</v>
      </c>
      <c r="H7" s="429"/>
      <c r="I7" s="428" t="str">
        <f t="shared" si="1"/>
        <v/>
      </c>
      <c r="J7" s="428" t="str">
        <f t="shared" si="2"/>
        <v/>
      </c>
      <c r="K7" s="204"/>
      <c r="L7" s="305"/>
    </row>
    <row r="8" spans="1:12">
      <c r="A8" s="428" t="str">
        <f>Application!B730</f>
        <v>1 Bedroom</v>
      </c>
      <c r="B8" s="1075">
        <f>Application!G730</f>
        <v>1</v>
      </c>
      <c r="C8" s="1153"/>
      <c r="D8" s="428">
        <f>Application!O730</f>
        <v>1372</v>
      </c>
      <c r="E8" s="429"/>
      <c r="F8" s="1076"/>
      <c r="G8" s="428">
        <f t="shared" si="0"/>
        <v>0</v>
      </c>
      <c r="H8" s="429"/>
      <c r="I8" s="428" t="str">
        <f t="shared" si="1"/>
        <v/>
      </c>
      <c r="J8" s="428" t="str">
        <f t="shared" si="2"/>
        <v/>
      </c>
      <c r="K8" s="204"/>
      <c r="L8" s="305"/>
    </row>
    <row r="9" spans="1:12">
      <c r="A9" s="428" t="str">
        <f>Application!B731</f>
        <v>1 Bedroom</v>
      </c>
      <c r="B9" s="1075">
        <f>Application!G731</f>
        <v>4</v>
      </c>
      <c r="C9" s="1153"/>
      <c r="D9" s="428">
        <f>Application!O731</f>
        <v>1656</v>
      </c>
      <c r="E9" s="429"/>
      <c r="F9" s="1076"/>
      <c r="G9" s="428">
        <f t="shared" si="0"/>
        <v>0</v>
      </c>
      <c r="H9" s="429"/>
      <c r="I9" s="428" t="str">
        <f t="shared" si="1"/>
        <v/>
      </c>
      <c r="J9" s="428" t="str">
        <f t="shared" si="2"/>
        <v/>
      </c>
      <c r="K9" s="204"/>
      <c r="L9" s="305"/>
    </row>
    <row r="10" spans="1:12">
      <c r="A10" s="428" t="str">
        <f>Application!B732</f>
        <v>1 Bedroom</v>
      </c>
      <c r="B10" s="1075">
        <f>Application!G732</f>
        <v>1</v>
      </c>
      <c r="C10" s="1153"/>
      <c r="D10" s="428">
        <f>Application!O732</f>
        <v>1230</v>
      </c>
      <c r="E10" s="429"/>
      <c r="F10" s="1076"/>
      <c r="G10" s="428">
        <f t="shared" si="0"/>
        <v>0</v>
      </c>
      <c r="H10" s="429"/>
      <c r="I10" s="428" t="str">
        <f t="shared" si="1"/>
        <v/>
      </c>
      <c r="J10" s="428" t="str">
        <f t="shared" si="2"/>
        <v/>
      </c>
      <c r="K10" s="204"/>
      <c r="L10" s="305"/>
    </row>
    <row r="11" spans="1:12">
      <c r="A11" s="428" t="str">
        <f>Application!B733</f>
        <v>1 Bedroom</v>
      </c>
      <c r="B11" s="1075">
        <f>Application!G733</f>
        <v>2</v>
      </c>
      <c r="C11" s="1153"/>
      <c r="D11" s="428">
        <f>Application!O733</f>
        <v>1088</v>
      </c>
      <c r="E11" s="429"/>
      <c r="F11" s="1076"/>
      <c r="G11" s="428">
        <f t="shared" si="0"/>
        <v>0</v>
      </c>
      <c r="H11" s="429"/>
      <c r="I11" s="428" t="str">
        <f t="shared" si="1"/>
        <v/>
      </c>
      <c r="J11" s="428" t="str">
        <f t="shared" si="2"/>
        <v/>
      </c>
      <c r="K11" s="204"/>
      <c r="L11" s="305"/>
    </row>
    <row r="12" spans="1:12">
      <c r="A12" s="428" t="str">
        <f>Application!B734</f>
        <v>2 Bedrooms</v>
      </c>
      <c r="B12" s="1075">
        <f>Application!G734</f>
        <v>1</v>
      </c>
      <c r="C12" s="1153"/>
      <c r="D12" s="428">
        <f>Application!O734</f>
        <v>959</v>
      </c>
      <c r="E12" s="429"/>
      <c r="F12" s="1076"/>
      <c r="G12" s="428">
        <f t="shared" si="0"/>
        <v>0</v>
      </c>
      <c r="H12" s="429"/>
      <c r="I12" s="428" t="str">
        <f t="shared" si="1"/>
        <v/>
      </c>
      <c r="J12" s="428" t="str">
        <f t="shared" si="2"/>
        <v/>
      </c>
      <c r="K12" s="204"/>
      <c r="L12" s="305"/>
    </row>
    <row r="13" spans="1:12">
      <c r="A13" s="428" t="str">
        <f>Application!B735</f>
        <v>2 Bedrooms</v>
      </c>
      <c r="B13" s="1075">
        <f>Application!G735</f>
        <v>1</v>
      </c>
      <c r="C13" s="1153"/>
      <c r="D13" s="428">
        <f>Application!O735</f>
        <v>1130</v>
      </c>
      <c r="E13" s="429"/>
      <c r="F13" s="1076"/>
      <c r="G13" s="428">
        <f t="shared" si="0"/>
        <v>0</v>
      </c>
      <c r="H13" s="429"/>
      <c r="I13" s="428" t="str">
        <f t="shared" si="1"/>
        <v/>
      </c>
      <c r="J13" s="428" t="str">
        <f t="shared" si="2"/>
        <v/>
      </c>
      <c r="K13" s="204"/>
      <c r="L13" s="305"/>
    </row>
    <row r="14" spans="1:12">
      <c r="A14" s="428" t="str">
        <f>Application!B736</f>
        <v>2 Bedrooms</v>
      </c>
      <c r="B14" s="1075">
        <f>Application!G736</f>
        <v>1</v>
      </c>
      <c r="C14" s="1153"/>
      <c r="D14" s="428">
        <f>Application!O736</f>
        <v>959</v>
      </c>
      <c r="E14" s="429"/>
      <c r="F14" s="1076"/>
      <c r="G14" s="428">
        <f t="shared" si="0"/>
        <v>0</v>
      </c>
      <c r="H14" s="429"/>
      <c r="I14" s="428" t="str">
        <f t="shared" si="1"/>
        <v/>
      </c>
      <c r="J14" s="428" t="str">
        <f t="shared" si="2"/>
        <v/>
      </c>
      <c r="K14" s="204"/>
      <c r="L14" s="305"/>
    </row>
    <row r="15" spans="1:12">
      <c r="A15" s="428" t="str">
        <f>Application!B737</f>
        <v>2 Bedrooms</v>
      </c>
      <c r="B15" s="1075">
        <f>Application!G737</f>
        <v>7</v>
      </c>
      <c r="C15" s="1153"/>
      <c r="D15" s="428">
        <f>Application!O737</f>
        <v>1300</v>
      </c>
      <c r="E15" s="429"/>
      <c r="F15" s="1076"/>
      <c r="G15" s="428">
        <f t="shared" si="0"/>
        <v>0</v>
      </c>
      <c r="H15" s="429"/>
      <c r="I15" s="428" t="str">
        <f t="shared" si="1"/>
        <v/>
      </c>
      <c r="J15" s="428" t="str">
        <f t="shared" si="2"/>
        <v/>
      </c>
      <c r="K15" s="204"/>
      <c r="L15" s="305"/>
    </row>
    <row r="16" spans="1:12">
      <c r="A16" s="428" t="str">
        <f>Application!B738</f>
        <v>2 Bedrooms</v>
      </c>
      <c r="B16" s="1075">
        <f>Application!G738</f>
        <v>3</v>
      </c>
      <c r="C16" s="1153"/>
      <c r="D16" s="428">
        <f>Application!O738</f>
        <v>1641</v>
      </c>
      <c r="E16" s="429"/>
      <c r="F16" s="1076"/>
      <c r="G16" s="428">
        <f t="shared" si="0"/>
        <v>0</v>
      </c>
      <c r="H16" s="429"/>
      <c r="I16" s="428" t="str">
        <f t="shared" si="1"/>
        <v/>
      </c>
      <c r="J16" s="428" t="str">
        <f t="shared" si="2"/>
        <v/>
      </c>
      <c r="K16" s="204"/>
      <c r="L16" s="305"/>
    </row>
    <row r="17" spans="1:12">
      <c r="A17" s="428" t="str">
        <f>Application!B739</f>
        <v>2 Bedrooms</v>
      </c>
      <c r="B17" s="1075">
        <f>Application!G739</f>
        <v>5</v>
      </c>
      <c r="C17" s="1153"/>
      <c r="D17" s="428">
        <f>Application!O739</f>
        <v>1981</v>
      </c>
      <c r="E17" s="429"/>
      <c r="F17" s="1076"/>
      <c r="G17" s="428">
        <f t="shared" si="0"/>
        <v>0</v>
      </c>
      <c r="H17" s="429"/>
      <c r="I17" s="428" t="str">
        <f t="shared" si="1"/>
        <v/>
      </c>
      <c r="J17" s="428" t="str">
        <f t="shared" si="2"/>
        <v/>
      </c>
      <c r="K17" s="204"/>
      <c r="L17" s="305"/>
    </row>
    <row r="18" spans="1:12">
      <c r="A18" s="428" t="str">
        <f>Application!B740</f>
        <v>3 Bedrooms</v>
      </c>
      <c r="B18" s="1075">
        <f>Application!G740</f>
        <v>1</v>
      </c>
      <c r="C18" s="1153"/>
      <c r="D18" s="428">
        <f>Application!O740</f>
        <v>1105</v>
      </c>
      <c r="E18" s="429"/>
      <c r="F18" s="1076"/>
      <c r="G18" s="428">
        <f t="shared" si="0"/>
        <v>0</v>
      </c>
      <c r="H18" s="429"/>
      <c r="I18" s="428" t="str">
        <f t="shared" si="1"/>
        <v/>
      </c>
      <c r="J18" s="428" t="str">
        <f t="shared" si="2"/>
        <v/>
      </c>
      <c r="K18" s="204"/>
      <c r="L18" s="305"/>
    </row>
    <row r="19" spans="1:12">
      <c r="A19" s="428" t="str">
        <f>Application!B741</f>
        <v>3 Bedrooms</v>
      </c>
      <c r="B19" s="1075">
        <f>Application!G741</f>
        <v>3</v>
      </c>
      <c r="C19" s="1153"/>
      <c r="D19" s="428">
        <f>Application!O741</f>
        <v>1696</v>
      </c>
      <c r="E19" s="429"/>
      <c r="F19" s="1076"/>
      <c r="G19" s="428">
        <f t="shared" si="0"/>
        <v>0</v>
      </c>
      <c r="H19" s="429"/>
      <c r="I19" s="428" t="str">
        <f t="shared" si="1"/>
        <v/>
      </c>
      <c r="J19" s="428" t="str">
        <f t="shared" si="2"/>
        <v/>
      </c>
      <c r="K19" s="204"/>
      <c r="L19" s="305"/>
    </row>
    <row r="20" spans="1:12">
      <c r="A20" s="428" t="str">
        <f>Application!B742</f>
        <v>3 Bedrooms</v>
      </c>
      <c r="B20" s="1075">
        <f>Application!G742</f>
        <v>2</v>
      </c>
      <c r="C20" s="1153"/>
      <c r="D20" s="428">
        <f>Application!O742</f>
        <v>1893</v>
      </c>
      <c r="E20" s="429"/>
      <c r="F20" s="1076"/>
      <c r="G20" s="428">
        <f t="shared" si="0"/>
        <v>0</v>
      </c>
      <c r="H20" s="429"/>
      <c r="I20" s="428" t="str">
        <f t="shared" si="1"/>
        <v/>
      </c>
      <c r="J20" s="428" t="str">
        <f t="shared" si="2"/>
        <v/>
      </c>
      <c r="K20" s="204"/>
      <c r="L20" s="305"/>
    </row>
    <row r="21" spans="1:12">
      <c r="A21" s="428" t="str">
        <f>Application!B743</f>
        <v>3 Bedrooms</v>
      </c>
      <c r="B21" s="1075">
        <f>Application!G743</f>
        <v>4</v>
      </c>
      <c r="C21" s="1153"/>
      <c r="D21" s="428">
        <f>Application!O743</f>
        <v>2286</v>
      </c>
      <c r="E21" s="429"/>
      <c r="F21" s="1076"/>
      <c r="G21" s="428">
        <f t="shared" si="0"/>
        <v>0</v>
      </c>
      <c r="H21" s="429"/>
      <c r="I21" s="428" t="str">
        <f t="shared" si="1"/>
        <v/>
      </c>
      <c r="J21" s="428" t="str">
        <f t="shared" si="2"/>
        <v/>
      </c>
      <c r="K21" s="204"/>
      <c r="L21" s="305"/>
    </row>
    <row r="22" spans="1:12">
      <c r="A22" s="428" t="str">
        <f>Application!B744</f>
        <v>3 Bedrooms</v>
      </c>
      <c r="B22" s="1075">
        <f>Application!G744</f>
        <v>2</v>
      </c>
      <c r="C22" s="1153"/>
      <c r="D22" s="428">
        <f>Application!O744</f>
        <v>1105</v>
      </c>
      <c r="E22" s="429"/>
      <c r="F22" s="1076"/>
      <c r="G22" s="428">
        <f t="shared" si="0"/>
        <v>0</v>
      </c>
      <c r="H22" s="429"/>
      <c r="I22" s="428" t="str">
        <f t="shared" si="1"/>
        <v/>
      </c>
      <c r="J22" s="428" t="str">
        <f t="shared" si="2"/>
        <v/>
      </c>
      <c r="K22" s="204"/>
      <c r="L22" s="305"/>
    </row>
    <row r="23" spans="1:12">
      <c r="A23" s="428" t="str">
        <f>Application!B745</f>
        <v>3 Bedrooms</v>
      </c>
      <c r="B23" s="1075">
        <f>Application!G745</f>
        <v>4</v>
      </c>
      <c r="C23" s="1153"/>
      <c r="D23" s="428">
        <f>Application!O745</f>
        <v>1893</v>
      </c>
      <c r="E23" s="429"/>
      <c r="F23" s="1076"/>
      <c r="G23" s="428">
        <f t="shared" si="0"/>
        <v>0</v>
      </c>
      <c r="H23" s="429"/>
      <c r="I23" s="428" t="str">
        <f t="shared" si="1"/>
        <v/>
      </c>
      <c r="J23" s="428" t="str">
        <f t="shared" si="2"/>
        <v/>
      </c>
      <c r="K23" s="204"/>
      <c r="L23" s="305"/>
    </row>
    <row r="24" spans="1:12">
      <c r="A24" s="428" t="str">
        <f>Application!B746</f>
        <v>3 Bedrooms</v>
      </c>
      <c r="B24" s="1075">
        <f>Application!G746</f>
        <v>8</v>
      </c>
      <c r="C24" s="1153"/>
      <c r="D24" s="428">
        <f>Application!O746</f>
        <v>1499</v>
      </c>
      <c r="E24" s="429"/>
      <c r="F24" s="1076"/>
      <c r="G24" s="428">
        <f t="shared" si="0"/>
        <v>0</v>
      </c>
      <c r="H24" s="429"/>
      <c r="I24" s="428" t="str">
        <f t="shared" si="1"/>
        <v/>
      </c>
      <c r="J24" s="428" t="str">
        <f t="shared" si="2"/>
        <v/>
      </c>
      <c r="K24" s="204"/>
      <c r="L24" s="305"/>
    </row>
    <row r="25" spans="1:12">
      <c r="A25" s="428" t="str">
        <f>Application!B747</f>
        <v>3 Bedrooms</v>
      </c>
      <c r="B25" s="1075">
        <f>Application!G747</f>
        <v>4</v>
      </c>
      <c r="C25" s="1153"/>
      <c r="D25" s="428">
        <f>Application!O747</f>
        <v>2286</v>
      </c>
      <c r="E25" s="429"/>
      <c r="F25" s="1076"/>
      <c r="G25" s="428">
        <f t="shared" si="0"/>
        <v>0</v>
      </c>
      <c r="H25" s="429"/>
      <c r="I25" s="428" t="str">
        <f t="shared" si="1"/>
        <v/>
      </c>
      <c r="J25" s="428" t="str">
        <f t="shared" si="2"/>
        <v/>
      </c>
      <c r="K25" s="204"/>
      <c r="L25" s="305"/>
    </row>
    <row r="26" spans="1:12">
      <c r="A26" s="428" t="str">
        <f>Application!B748</f>
        <v>4 Bedrooms</v>
      </c>
      <c r="B26" s="1075">
        <f>Application!G748</f>
        <v>1</v>
      </c>
      <c r="C26" s="1153"/>
      <c r="D26" s="428">
        <f>Application!O748</f>
        <v>1220</v>
      </c>
      <c r="E26" s="429"/>
      <c r="F26" s="1076"/>
      <c r="G26" s="428">
        <f t="shared" si="0"/>
        <v>0</v>
      </c>
      <c r="H26" s="429"/>
      <c r="I26" s="428" t="str">
        <f t="shared" si="1"/>
        <v/>
      </c>
      <c r="J26" s="428" t="str">
        <f t="shared" si="2"/>
        <v/>
      </c>
      <c r="K26" s="204"/>
      <c r="L26" s="305"/>
    </row>
    <row r="27" spans="1:12">
      <c r="A27" s="428" t="str">
        <f>Application!B749</f>
        <v>4 Bedrooms</v>
      </c>
      <c r="B27" s="1075">
        <f>Application!G749</f>
        <v>4</v>
      </c>
      <c r="C27" s="1153"/>
      <c r="D27" s="428">
        <f>Application!O749</f>
        <v>2099</v>
      </c>
      <c r="E27" s="429"/>
      <c r="F27" s="1076"/>
      <c r="G27" s="428">
        <f t="shared" si="0"/>
        <v>0</v>
      </c>
      <c r="H27" s="429"/>
      <c r="I27" s="428" t="str">
        <f t="shared" si="1"/>
        <v/>
      </c>
      <c r="J27" s="428" t="str">
        <f t="shared" si="2"/>
        <v/>
      </c>
      <c r="K27" s="204"/>
      <c r="L27" s="305"/>
    </row>
    <row r="28" spans="1:12">
      <c r="A28" s="428" t="str">
        <f>Application!B750</f>
        <v>4 Bedrooms</v>
      </c>
      <c r="B28" s="1075">
        <f>Application!G750</f>
        <v>1</v>
      </c>
      <c r="C28" s="1153"/>
      <c r="D28" s="428">
        <f>Application!O750</f>
        <v>2538</v>
      </c>
      <c r="E28" s="429"/>
      <c r="F28" s="1076"/>
      <c r="G28" s="428">
        <f t="shared" si="0"/>
        <v>0</v>
      </c>
      <c r="H28" s="429"/>
      <c r="I28" s="428" t="str">
        <f t="shared" si="1"/>
        <v/>
      </c>
      <c r="J28" s="428" t="str">
        <f t="shared" si="2"/>
        <v/>
      </c>
      <c r="K28" s="204"/>
      <c r="L28" s="305"/>
    </row>
    <row r="29" spans="1:12">
      <c r="A29" s="428">
        <f>Application!B751</f>
        <v>0</v>
      </c>
      <c r="B29" s="1075">
        <f>Application!G751</f>
        <v>0</v>
      </c>
      <c r="C29" s="1153"/>
      <c r="D29" s="428">
        <f>Application!O751</f>
        <v>0</v>
      </c>
      <c r="E29" s="429"/>
      <c r="F29" s="1076"/>
      <c r="G29" s="428">
        <f t="shared" si="0"/>
        <v>0</v>
      </c>
      <c r="H29" s="429"/>
      <c r="I29" s="428" t="str">
        <f t="shared" si="1"/>
        <v/>
      </c>
      <c r="J29" s="428" t="str">
        <f t="shared" si="2"/>
        <v/>
      </c>
      <c r="K29" s="204"/>
      <c r="L29" s="305"/>
    </row>
    <row r="30" spans="1:12">
      <c r="A30" s="428">
        <f>Application!B752</f>
        <v>0</v>
      </c>
      <c r="B30" s="1075">
        <f>Application!G752</f>
        <v>0</v>
      </c>
      <c r="C30" s="1153"/>
      <c r="D30" s="428">
        <f>Application!O752</f>
        <v>0</v>
      </c>
      <c r="E30" s="429"/>
      <c r="F30" s="1076"/>
      <c r="G30" s="428">
        <f t="shared" si="0"/>
        <v>0</v>
      </c>
      <c r="H30" s="429"/>
      <c r="I30" s="428" t="str">
        <f t="shared" si="1"/>
        <v/>
      </c>
      <c r="J30" s="428" t="str">
        <f t="shared" si="2"/>
        <v/>
      </c>
      <c r="K30" s="204"/>
      <c r="L30" s="305"/>
    </row>
    <row r="31" spans="1:12">
      <c r="A31" s="428">
        <f>Application!B753</f>
        <v>0</v>
      </c>
      <c r="B31" s="1075">
        <f>Application!G753</f>
        <v>0</v>
      </c>
      <c r="C31" s="1153"/>
      <c r="D31" s="428">
        <f>Application!O753</f>
        <v>0</v>
      </c>
      <c r="E31" s="429"/>
      <c r="F31" s="1076"/>
      <c r="G31" s="428">
        <f t="shared" si="0"/>
        <v>0</v>
      </c>
      <c r="H31" s="429"/>
      <c r="I31" s="428" t="str">
        <f t="shared" si="1"/>
        <v/>
      </c>
      <c r="J31" s="428" t="str">
        <f t="shared" si="2"/>
        <v/>
      </c>
      <c r="K31" s="204"/>
      <c r="L31" s="305"/>
    </row>
    <row r="32" spans="1:12">
      <c r="A32" s="428">
        <f>Application!B754</f>
        <v>0</v>
      </c>
      <c r="B32" s="1075">
        <f>Application!G754</f>
        <v>0</v>
      </c>
      <c r="C32" s="1153"/>
      <c r="D32" s="428">
        <f>Application!O754</f>
        <v>0</v>
      </c>
      <c r="E32" s="429"/>
      <c r="F32" s="1076"/>
      <c r="G32" s="428">
        <f t="shared" si="0"/>
        <v>0</v>
      </c>
      <c r="H32" s="429"/>
      <c r="I32" s="428" t="str">
        <f t="shared" si="1"/>
        <v/>
      </c>
      <c r="J32" s="428" t="str">
        <f t="shared" si="2"/>
        <v/>
      </c>
      <c r="K32" s="204"/>
      <c r="L32" s="305"/>
    </row>
    <row r="33" spans="1:12">
      <c r="A33" s="428">
        <f>Application!B755</f>
        <v>0</v>
      </c>
      <c r="B33" s="1075">
        <f>Application!G755</f>
        <v>0</v>
      </c>
      <c r="C33" s="1153"/>
      <c r="D33" s="428">
        <f>Application!O755</f>
        <v>0</v>
      </c>
      <c r="E33" s="429"/>
      <c r="F33" s="1076"/>
      <c r="G33" s="428">
        <f t="shared" si="0"/>
        <v>0</v>
      </c>
      <c r="H33" s="429"/>
      <c r="I33" s="428" t="str">
        <f t="shared" si="1"/>
        <v/>
      </c>
      <c r="J33" s="428" t="str">
        <f t="shared" si="2"/>
        <v/>
      </c>
      <c r="K33" s="204"/>
      <c r="L33" s="305"/>
    </row>
    <row r="34" spans="1:12">
      <c r="A34" s="428">
        <f>Application!B756</f>
        <v>0</v>
      </c>
      <c r="B34" s="1075">
        <f>Application!G756</f>
        <v>0</v>
      </c>
      <c r="C34" s="1153"/>
      <c r="D34" s="428">
        <f>Application!O756</f>
        <v>0</v>
      </c>
      <c r="E34" s="429"/>
      <c r="F34" s="1076"/>
      <c r="G34" s="428">
        <f t="shared" si="0"/>
        <v>0</v>
      </c>
      <c r="H34" s="429"/>
      <c r="I34" s="428" t="str">
        <f t="shared" si="1"/>
        <v/>
      </c>
      <c r="J34" s="428" t="str">
        <f t="shared" si="2"/>
        <v/>
      </c>
      <c r="K34" s="204"/>
      <c r="L34" s="305"/>
    </row>
    <row r="35" spans="1:12">
      <c r="A35" s="428">
        <f>Application!B757</f>
        <v>0</v>
      </c>
      <c r="B35" s="1075">
        <f>Application!G757</f>
        <v>0</v>
      </c>
      <c r="C35" s="1153"/>
      <c r="D35" s="428">
        <f>Application!O757</f>
        <v>0</v>
      </c>
      <c r="E35" s="429"/>
      <c r="F35" s="1076"/>
      <c r="G35" s="428">
        <f t="shared" si="0"/>
        <v>0</v>
      </c>
      <c r="H35" s="429"/>
      <c r="I35" s="428" t="str">
        <f t="shared" si="1"/>
        <v/>
      </c>
      <c r="J35" s="428" t="str">
        <f t="shared" si="2"/>
        <v/>
      </c>
      <c r="K35" s="204"/>
      <c r="L35" s="305"/>
    </row>
    <row r="36" spans="1:12">
      <c r="A36" s="428">
        <f>Application!B758</f>
        <v>0</v>
      </c>
      <c r="B36" s="1075">
        <f>Application!G758</f>
        <v>0</v>
      </c>
      <c r="C36" s="1153"/>
      <c r="D36" s="428">
        <f>Application!O758</f>
        <v>0</v>
      </c>
      <c r="E36" s="429"/>
      <c r="F36" s="1076"/>
      <c r="G36" s="428">
        <f t="shared" si="0"/>
        <v>0</v>
      </c>
      <c r="H36" s="429"/>
      <c r="I36" s="428" t="str">
        <f t="shared" si="1"/>
        <v/>
      </c>
      <c r="J36" s="428" t="str">
        <f t="shared" si="2"/>
        <v/>
      </c>
      <c r="K36" s="204"/>
      <c r="L36" s="305"/>
    </row>
    <row r="37" spans="1:12">
      <c r="A37" s="428">
        <f>Application!B759</f>
        <v>0</v>
      </c>
      <c r="B37" s="1075">
        <f>Application!G759</f>
        <v>0</v>
      </c>
      <c r="C37" s="1153"/>
      <c r="D37" s="428">
        <f>Application!O759</f>
        <v>0</v>
      </c>
      <c r="E37" s="429"/>
      <c r="F37" s="1076"/>
      <c r="G37" s="428">
        <f t="shared" si="0"/>
        <v>0</v>
      </c>
      <c r="H37" s="429"/>
      <c r="I37" s="428" t="str">
        <f t="shared" si="1"/>
        <v/>
      </c>
      <c r="J37" s="428" t="str">
        <f t="shared" si="2"/>
        <v/>
      </c>
      <c r="K37" s="204"/>
      <c r="L37" s="305"/>
    </row>
    <row r="38" spans="1:12">
      <c r="A38" s="428">
        <f>Application!B760</f>
        <v>0</v>
      </c>
      <c r="B38" s="1075">
        <f>Application!G760</f>
        <v>0</v>
      </c>
      <c r="C38" s="1153"/>
      <c r="D38" s="428">
        <f>Application!O760</f>
        <v>0</v>
      </c>
      <c r="E38" s="429"/>
      <c r="F38" s="1076"/>
      <c r="G38" s="428">
        <f t="shared" si="0"/>
        <v>0</v>
      </c>
      <c r="H38" s="429"/>
      <c r="I38" s="428" t="str">
        <f t="shared" si="1"/>
        <v/>
      </c>
      <c r="J38" s="428" t="str">
        <f t="shared" si="2"/>
        <v/>
      </c>
      <c r="K38" s="204"/>
      <c r="L38" s="305"/>
    </row>
    <row r="39" spans="1:12">
      <c r="A39" s="204"/>
      <c r="B39" s="204"/>
      <c r="C39" s="204"/>
      <c r="D39" s="429"/>
      <c r="E39" s="429"/>
      <c r="F39" s="429"/>
      <c r="G39" s="429"/>
      <c r="H39" s="429"/>
      <c r="I39" s="429"/>
      <c r="J39" s="204"/>
      <c r="K39" s="204"/>
      <c r="L39" s="305"/>
    </row>
    <row r="40" spans="1:12">
      <c r="A40" s="430" t="s">
        <v>2664</v>
      </c>
      <c r="B40" s="431"/>
      <c r="C40" s="431"/>
      <c r="D40" s="432">
        <f>Application!O761</f>
        <v>105067</v>
      </c>
      <c r="E40" s="429"/>
      <c r="F40" s="429"/>
      <c r="G40" s="432">
        <f>SUM(G4:G38)*12</f>
        <v>0</v>
      </c>
      <c r="H40" s="433"/>
      <c r="I40" s="431"/>
      <c r="J40" s="432">
        <f>SUM(J4:J38)*12</f>
        <v>0</v>
      </c>
      <c r="K40" s="204"/>
      <c r="L40" s="306"/>
    </row>
    <row r="41" spans="1:12">
      <c r="A41" s="430"/>
      <c r="B41" s="431"/>
      <c r="C41" s="431"/>
      <c r="D41" s="433"/>
      <c r="E41" s="429"/>
      <c r="F41" s="429"/>
      <c r="G41" s="433"/>
      <c r="H41" s="433"/>
      <c r="I41" s="431"/>
      <c r="J41" s="433"/>
      <c r="K41" s="204"/>
      <c r="L41" s="306"/>
    </row>
    <row r="42" spans="1:12">
      <c r="A42" s="304" t="s">
        <v>2665</v>
      </c>
    </row>
    <row r="43" spans="1:12">
      <c r="A43" s="2124" t="s">
        <v>2666</v>
      </c>
      <c r="B43" s="1293"/>
      <c r="C43" s="1293"/>
      <c r="D43" s="1293"/>
      <c r="E43" s="1293"/>
      <c r="F43" s="1293"/>
      <c r="G43" s="1293"/>
      <c r="H43" s="1293"/>
      <c r="I43" s="1293"/>
      <c r="J43" s="1293"/>
    </row>
    <row r="44" spans="1:12">
      <c r="A44" s="1293"/>
      <c r="B44" s="1293"/>
      <c r="C44" s="1293"/>
      <c r="D44" s="1293"/>
      <c r="E44" s="1293"/>
      <c r="F44" s="1293"/>
      <c r="G44" s="1293"/>
      <c r="H44" s="1293"/>
      <c r="I44" s="1293"/>
      <c r="J44" s="1293"/>
    </row>
    <row r="45" spans="1:12">
      <c r="A45" s="2124" t="s">
        <v>2667</v>
      </c>
      <c r="B45" s="1293"/>
      <c r="C45" s="1293"/>
      <c r="D45" s="1293"/>
      <c r="E45" s="1293"/>
      <c r="F45" s="1293"/>
      <c r="G45" s="1293"/>
      <c r="H45" s="1293"/>
      <c r="I45" s="1293"/>
      <c r="J45" s="1293"/>
    </row>
    <row r="46" spans="1:12">
      <c r="A46" s="1293"/>
      <c r="B46" s="1293"/>
      <c r="C46" s="1293"/>
      <c r="D46" s="1293"/>
      <c r="E46" s="1293"/>
      <c r="F46" s="1293"/>
      <c r="G46" s="1293"/>
      <c r="H46" s="1293"/>
      <c r="I46" s="1293"/>
      <c r="J46" s="1293"/>
    </row>
  </sheetData>
  <sheetProtection algorithmName="SHA-512" hashValue="p2zvtVhkyki0L2d6AN6SLOj6nHdcA/K83knqzt17gzEUblQybanFpZxb+dk3+jLG0jPylNP81gBH9ABvwQ6ppg==" saltValue="EqyDZFmoQ7RSPSrYgr+KXw==" spinCount="100000" sheet="1" objects="1" scenarios="1"/>
  <mergeCells count="3">
    <mergeCell ref="A43:J44"/>
    <mergeCell ref="A1:J1"/>
    <mergeCell ref="A45:J46"/>
  </mergeCells>
  <dataValidations count="1">
    <dataValidation type="list" allowBlank="1" showInputMessage="1" showErrorMessage="1" sqref="C4:C38" xr:uid="{00000000-0002-0000-0A00-000000000000}">
      <formula1>"Federal,Local - Approved by ED, Other"</formula1>
    </dataValidation>
  </dataValidations>
  <printOptions horizontalCentered="1"/>
  <pageMargins left="0.7" right="0.7" top="0.75" bottom="0.75" header="0.3" footer="0.3"/>
  <pageSetup scale="76" firstPageNumber="48" orientation="landscape" useFirstPageNumber="1" r:id="rId1"/>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AI77"/>
  <sheetViews>
    <sheetView topLeftCell="A20" workbookViewId="0">
      <selection activeCell="O65" sqref="O65"/>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36" width="8.88671875" hidden="1" customWidth="1"/>
    <col min="37" max="16384" width="8.88671875" hidden="1"/>
  </cols>
  <sheetData>
    <row r="1" spans="1:34" ht="17.399999999999999" customHeight="1">
      <c r="A1" s="211" t="s">
        <v>2668</v>
      </c>
      <c r="B1" s="211"/>
    </row>
    <row r="2" spans="1:34"/>
    <row r="3" spans="1:34" ht="15.6" customHeight="1">
      <c r="A3" s="212" t="s">
        <v>2669</v>
      </c>
      <c r="B3" s="212"/>
      <c r="C3" s="235" t="s">
        <v>2670</v>
      </c>
      <c r="D3" s="13"/>
      <c r="E3" s="236" t="s">
        <v>2671</v>
      </c>
      <c r="F3" s="203"/>
      <c r="G3" s="236" t="s">
        <v>2672</v>
      </c>
      <c r="H3" s="203"/>
      <c r="I3" s="236" t="s">
        <v>2673</v>
      </c>
      <c r="J3" s="203"/>
      <c r="K3" s="236" t="s">
        <v>2674</v>
      </c>
      <c r="L3" s="203"/>
      <c r="M3" s="236" t="s">
        <v>2675</v>
      </c>
      <c r="N3" s="203"/>
      <c r="O3" s="236" t="s">
        <v>2676</v>
      </c>
      <c r="P3" s="203"/>
      <c r="Q3" s="236" t="s">
        <v>2677</v>
      </c>
      <c r="R3" s="203"/>
      <c r="S3" s="236" t="s">
        <v>2678</v>
      </c>
      <c r="T3" s="203"/>
      <c r="U3" s="236" t="s">
        <v>2679</v>
      </c>
      <c r="V3" s="203"/>
      <c r="W3" s="236" t="s">
        <v>2680</v>
      </c>
      <c r="X3" s="203"/>
      <c r="Y3" s="236" t="s">
        <v>2681</v>
      </c>
      <c r="Z3" s="203"/>
      <c r="AA3" s="236" t="s">
        <v>2682</v>
      </c>
      <c r="AB3" s="203"/>
      <c r="AC3" s="236" t="s">
        <v>2683</v>
      </c>
      <c r="AD3" s="203"/>
      <c r="AE3" s="236" t="s">
        <v>2684</v>
      </c>
      <c r="AF3" s="203"/>
      <c r="AG3" s="236" t="s">
        <v>2685</v>
      </c>
      <c r="AH3" s="13"/>
    </row>
    <row r="4" spans="1:34" s="219" customFormat="1" ht="13.8" customHeight="1">
      <c r="A4" s="219" t="s">
        <v>2686</v>
      </c>
      <c r="C4" s="237">
        <v>1.0249999999999999</v>
      </c>
      <c r="E4" s="219">
        <f>Application!Y809</f>
        <v>1260804</v>
      </c>
      <c r="G4" s="219">
        <f>E4*$C$4</f>
        <v>1292324.0999999999</v>
      </c>
      <c r="I4" s="219">
        <f>G4*$C$4</f>
        <v>1324632.2024999997</v>
      </c>
      <c r="K4" s="219">
        <f>I4*$C$4</f>
        <v>1357748.0075624995</v>
      </c>
      <c r="M4" s="219">
        <f>K4*$C$4</f>
        <v>1391691.7077515619</v>
      </c>
      <c r="O4" s="219">
        <f>M4*$C$4</f>
        <v>1426484.0004453508</v>
      </c>
      <c r="Q4" s="219">
        <f>O4*$C$4</f>
        <v>1462146.1004564844</v>
      </c>
      <c r="S4" s="219">
        <f>Q4*$C$4</f>
        <v>1498699.7529678964</v>
      </c>
      <c r="U4" s="219">
        <f>S4*$C$4</f>
        <v>1536167.2467920936</v>
      </c>
      <c r="W4" s="219">
        <f>U4*$C$4</f>
        <v>1574571.4279618957</v>
      </c>
      <c r="Y4" s="219">
        <f>W4*$C$4</f>
        <v>1613935.7136609429</v>
      </c>
      <c r="AA4" s="219">
        <f>Y4*$C$4</f>
        <v>1654284.1065024664</v>
      </c>
      <c r="AC4" s="219">
        <f>AA4*$C$4</f>
        <v>1695641.2091650278</v>
      </c>
      <c r="AE4" s="219">
        <f>AC4*$C$4</f>
        <v>1738032.2393941535</v>
      </c>
      <c r="AG4" s="219">
        <f>AE4*$C$4</f>
        <v>1781483.0453790072</v>
      </c>
    </row>
    <row r="5" spans="1:34" s="210" customFormat="1" ht="13.8" customHeight="1">
      <c r="B5" s="210" t="s">
        <v>2346</v>
      </c>
      <c r="C5" s="238">
        <f>IF(Application!$D$211="Special Needs",(((0.1*Application!$T$212)+(0.05*(1-Application!$T$212)))),0.05)</f>
        <v>0.05</v>
      </c>
      <c r="E5" s="221">
        <f>-E4*$C$5</f>
        <v>-63040.200000000004</v>
      </c>
      <c r="F5" s="221"/>
      <c r="G5" s="221">
        <f>-G4*$C$5</f>
        <v>-64616.204999999994</v>
      </c>
      <c r="H5" s="221"/>
      <c r="I5" s="221">
        <f>-I4*$C$5</f>
        <v>-66231.610124999992</v>
      </c>
      <c r="J5" s="221"/>
      <c r="K5" s="221">
        <f>-K4*$C$5</f>
        <v>-67887.400378124978</v>
      </c>
      <c r="L5" s="221"/>
      <c r="M5" s="221">
        <f>-M4*$C$5</f>
        <v>-69584.585387578103</v>
      </c>
      <c r="N5" s="221"/>
      <c r="O5" s="221">
        <f>-O4*$C$5</f>
        <v>-71324.200022267541</v>
      </c>
      <c r="P5" s="221"/>
      <c r="Q5" s="221">
        <f>-Q4*$C$5</f>
        <v>-73107.305022824221</v>
      </c>
      <c r="R5" s="221"/>
      <c r="S5" s="221">
        <f>-S4*$C$5</f>
        <v>-74934.987648394817</v>
      </c>
      <c r="T5" s="221"/>
      <c r="U5" s="221">
        <f>-U4*$C$5</f>
        <v>-76808.36233960469</v>
      </c>
      <c r="V5" s="221"/>
      <c r="W5" s="221">
        <f>-W4*$C$5</f>
        <v>-78728.571398094791</v>
      </c>
      <c r="X5" s="221"/>
      <c r="Y5" s="221">
        <f>-Y4*$C$5</f>
        <v>-80696.785683047143</v>
      </c>
      <c r="Z5" s="221"/>
      <c r="AA5" s="221">
        <f>-AA4*$C$5</f>
        <v>-82714.20532512333</v>
      </c>
      <c r="AB5" s="221"/>
      <c r="AC5" s="221">
        <f>-AC4*$C$5</f>
        <v>-84782.060458251392</v>
      </c>
      <c r="AD5" s="221"/>
      <c r="AE5" s="221">
        <f>-AE4*$C$5</f>
        <v>-86901.611969707679</v>
      </c>
      <c r="AF5" s="221"/>
      <c r="AG5" s="221">
        <f>-AG4*$C$5</f>
        <v>-89074.152268950362</v>
      </c>
    </row>
    <row r="6" spans="1:34" s="210" customFormat="1" ht="13.8" customHeight="1">
      <c r="A6" s="210" t="s">
        <v>2687</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3.8" customHeight="1">
      <c r="B7" s="210" t="s">
        <v>2346</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3.8" customHeight="1">
      <c r="A8" s="210" t="s">
        <v>327</v>
      </c>
      <c r="C8" s="237">
        <v>1.0249999999999999</v>
      </c>
      <c r="E8" s="222">
        <f>Application!Z825</f>
        <v>5000</v>
      </c>
      <c r="F8" s="222"/>
      <c r="G8" s="222">
        <f>E8*$C$8</f>
        <v>5125</v>
      </c>
      <c r="H8" s="222"/>
      <c r="I8" s="222">
        <f>G8*$C$8</f>
        <v>5253.1249999999991</v>
      </c>
      <c r="J8" s="222"/>
      <c r="K8" s="222">
        <f>I8*$C$8</f>
        <v>5384.4531249999982</v>
      </c>
      <c r="L8" s="222"/>
      <c r="M8" s="222">
        <f>K8*$C$8</f>
        <v>5519.0644531249973</v>
      </c>
      <c r="N8" s="222"/>
      <c r="O8" s="222">
        <f>M8*$C$8</f>
        <v>5657.0410644531221</v>
      </c>
      <c r="P8" s="222"/>
      <c r="Q8" s="222">
        <f>O8*$C$8</f>
        <v>5798.46709106445</v>
      </c>
      <c r="R8" s="222"/>
      <c r="S8" s="222">
        <f>Q8*$C$8</f>
        <v>5943.4287683410603</v>
      </c>
      <c r="T8" s="222"/>
      <c r="U8" s="222">
        <f>S8*$C$8</f>
        <v>6092.0144875495862</v>
      </c>
      <c r="V8" s="222"/>
      <c r="W8" s="222">
        <f>U8*$C$8</f>
        <v>6244.3148497383254</v>
      </c>
      <c r="X8" s="222"/>
      <c r="Y8" s="222">
        <f>W8*$C$8</f>
        <v>6400.4227209817827</v>
      </c>
      <c r="Z8" s="222"/>
      <c r="AA8" s="222">
        <f>Y8*$C$8</f>
        <v>6560.433289006327</v>
      </c>
      <c r="AB8" s="222"/>
      <c r="AC8" s="222">
        <f>AA8*$C$8</f>
        <v>6724.4441212314841</v>
      </c>
      <c r="AD8" s="222"/>
      <c r="AE8" s="222">
        <f>AC8*$C$8</f>
        <v>6892.5552242622707</v>
      </c>
      <c r="AF8" s="222"/>
      <c r="AG8" s="222">
        <f>AE8*$C$8</f>
        <v>7064.869104868827</v>
      </c>
    </row>
    <row r="9" spans="1:34" s="210" customFormat="1" ht="13.8" customHeight="1">
      <c r="B9" s="210" t="s">
        <v>2346</v>
      </c>
      <c r="C9" s="238">
        <f>IF(Application!$D$211="Special Needs",(((0.1*Application!$T$212)+(0.05*(1-Application!$T$212)))),0.05)</f>
        <v>0.05</v>
      </c>
      <c r="E9" s="221">
        <f>-E8*$C$9</f>
        <v>-250</v>
      </c>
      <c r="F9" s="221"/>
      <c r="G9" s="221">
        <f>-G8*$C$9</f>
        <v>-256.25</v>
      </c>
      <c r="H9" s="221"/>
      <c r="I9" s="221">
        <f>-I8*$C$9</f>
        <v>-262.65624999999994</v>
      </c>
      <c r="J9" s="221"/>
      <c r="K9" s="221">
        <f>-K8*$C$9</f>
        <v>-269.22265624999994</v>
      </c>
      <c r="L9" s="221"/>
      <c r="M9" s="221">
        <f>-M8*$C$9</f>
        <v>-275.95322265624986</v>
      </c>
      <c r="N9" s="221"/>
      <c r="O9" s="221">
        <f>-O8*$C$9</f>
        <v>-282.85205322265614</v>
      </c>
      <c r="P9" s="221"/>
      <c r="Q9" s="221">
        <f>-Q8*$C$9</f>
        <v>-289.92335455322251</v>
      </c>
      <c r="R9" s="221"/>
      <c r="S9" s="221">
        <f>-S8*$C$9</f>
        <v>-297.17143841705303</v>
      </c>
      <c r="T9" s="221"/>
      <c r="U9" s="221">
        <f>-U8*$C$9</f>
        <v>-304.60072437747931</v>
      </c>
      <c r="V9" s="221"/>
      <c r="W9" s="221">
        <f>-W8*$C$9</f>
        <v>-312.21574248691627</v>
      </c>
      <c r="X9" s="221"/>
      <c r="Y9" s="221">
        <f>-Y8*$C$9</f>
        <v>-320.02113604908914</v>
      </c>
      <c r="Z9" s="221"/>
      <c r="AA9" s="221">
        <f>-AA8*$C$9</f>
        <v>-328.02166445031639</v>
      </c>
      <c r="AB9" s="221"/>
      <c r="AC9" s="221">
        <f>-AC8*$C$9</f>
        <v>-336.22220606157424</v>
      </c>
      <c r="AD9" s="221"/>
      <c r="AE9" s="221">
        <f>-AE8*$C$9</f>
        <v>-344.62776121311356</v>
      </c>
      <c r="AF9" s="221"/>
      <c r="AG9" s="221">
        <f>-AG8*$C$9</f>
        <v>-353.24345524344136</v>
      </c>
    </row>
    <row r="10" spans="1:34" s="210" customFormat="1" ht="13.8" customHeight="1">
      <c r="A10" s="1135" t="s">
        <v>2742</v>
      </c>
      <c r="B10" s="1135"/>
      <c r="C10" s="238"/>
      <c r="E10" s="1136">
        <v>-87552</v>
      </c>
      <c r="F10" s="222"/>
      <c r="G10" s="1136">
        <v>-89764.549999999814</v>
      </c>
      <c r="H10" s="222"/>
      <c r="I10" s="1136">
        <v>-92032.888749999925</v>
      </c>
      <c r="J10" s="222"/>
      <c r="K10" s="1136">
        <v>-94358.420468749711</v>
      </c>
      <c r="L10" s="222"/>
      <c r="M10" s="1136">
        <v>-96742.584670468699</v>
      </c>
      <c r="N10" s="222"/>
      <c r="O10" s="1136">
        <v>-99186.857051030034</v>
      </c>
      <c r="P10" s="222"/>
      <c r="Q10" s="1136">
        <v>-101692.7503963816</v>
      </c>
      <c r="R10" s="222"/>
      <c r="S10" s="1136">
        <v>-104261.81551374868</v>
      </c>
      <c r="T10" s="222"/>
      <c r="U10" s="1136">
        <v>-106895.64218619955</v>
      </c>
      <c r="V10" s="222"/>
      <c r="W10" s="1136">
        <v>-109595.86015115329</v>
      </c>
      <c r="X10" s="222"/>
      <c r="Y10" s="1136">
        <v>-112364.14010343654</v>
      </c>
      <c r="Z10" s="222"/>
      <c r="AA10" s="1136">
        <v>-115202.19472349738</v>
      </c>
      <c r="AB10" s="222"/>
      <c r="AC10" s="1136">
        <v>-118111.77973140962</v>
      </c>
      <c r="AD10" s="222"/>
      <c r="AE10" s="1136">
        <v>-121094.69496731507</v>
      </c>
      <c r="AF10" s="222"/>
      <c r="AG10" s="1136">
        <v>-124152.78549897135</v>
      </c>
    </row>
    <row r="11" spans="1:34" s="223" customFormat="1" ht="13.8" customHeight="1">
      <c r="A11" s="223" t="s">
        <v>2688</v>
      </c>
      <c r="C11" s="216"/>
      <c r="E11" s="223">
        <f>SUM(E4:E10)</f>
        <v>1114961.8</v>
      </c>
      <c r="G11" s="223">
        <f>SUM(G4:G10)</f>
        <v>1142812.095</v>
      </c>
      <c r="I11" s="223">
        <f>SUM(I4:I10)</f>
        <v>1171358.1723749998</v>
      </c>
      <c r="K11" s="223">
        <f>SUM(K4:K10)</f>
        <v>1200617.4171843748</v>
      </c>
      <c r="M11" s="223">
        <f>SUM(M4:M10)</f>
        <v>1230607.648923984</v>
      </c>
      <c r="O11" s="223">
        <f>SUM(O4:O10)</f>
        <v>1261347.1323832835</v>
      </c>
      <c r="Q11" s="223">
        <f>SUM(Q4:Q10)</f>
        <v>1292854.5887737896</v>
      </c>
      <c r="S11" s="223">
        <f>SUM(S4:S10)</f>
        <v>1325149.2071356766</v>
      </c>
      <c r="U11" s="223">
        <f>SUM(U4:U10)</f>
        <v>1358250.6560294617</v>
      </c>
      <c r="W11" s="223">
        <f>SUM(W4:W10)</f>
        <v>1392179.0955198989</v>
      </c>
      <c r="Y11" s="223">
        <f>SUM(Y4:Y10)</f>
        <v>1426955.1894593919</v>
      </c>
      <c r="AA11" s="223">
        <f>SUM(AA4:AA10)</f>
        <v>1462600.1180784015</v>
      </c>
      <c r="AC11" s="223">
        <f>SUM(AC4:AC10)</f>
        <v>1499135.590890537</v>
      </c>
      <c r="AE11" s="223">
        <f>SUM(AE4:AE10)</f>
        <v>1536583.8599201797</v>
      </c>
      <c r="AG11" s="223">
        <f>SUM(AG4:AG10)</f>
        <v>1574967.7332607107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ustomHeight="1">
      <c r="A13" s="212" t="s">
        <v>2689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ustomHeight="1">
      <c r="A14" s="210" t="s">
        <v>2690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ustomHeight="1">
      <c r="A15" s="219" t="s">
        <v>2691</v>
      </c>
      <c r="C15" s="176"/>
      <c r="E15" s="219">
        <f>Application!W855</f>
        <v>52510</v>
      </c>
      <c r="G15" s="219">
        <f t="shared" ref="G15:G21" si="0">E15*$C$14</f>
        <v>54347.85</v>
      </c>
      <c r="I15" s="219">
        <f t="shared" ref="I15:I21" si="1">G15*$C$14</f>
        <v>56250.024749999997</v>
      </c>
      <c r="K15" s="219">
        <f t="shared" ref="K15:K21" si="2">I15*$C$14</f>
        <v>58218.775616249994</v>
      </c>
      <c r="M15" s="219">
        <f t="shared" ref="M15:M21" si="3">K15*$C$14</f>
        <v>60256.432762818738</v>
      </c>
      <c r="O15" s="219">
        <f t="shared" ref="O15:O21" si="4">M15*$C$14</f>
        <v>62365.407909517387</v>
      </c>
      <c r="Q15" s="219">
        <f t="shared" ref="Q15:Q21" si="5">O15*$C$14</f>
        <v>64548.197186350488</v>
      </c>
      <c r="S15" s="219">
        <f t="shared" ref="S15:S21" si="6">Q15*$C$14</f>
        <v>66807.38408787275</v>
      </c>
      <c r="U15" s="219">
        <f t="shared" ref="U15:U21" si="7">S15*$C$14</f>
        <v>69145.642530948287</v>
      </c>
      <c r="W15" s="219">
        <f t="shared" ref="W15:W21" si="8">U15*$C$14</f>
        <v>71565.740019531469</v>
      </c>
      <c r="Y15" s="219">
        <f t="shared" ref="Y15:Y21" si="9">W15*$C$14</f>
        <v>74070.540920215062</v>
      </c>
      <c r="AA15" s="219">
        <f t="shared" ref="AA15:AA21" si="10">Y15*$C$14</f>
        <v>76663.00985242259</v>
      </c>
      <c r="AC15" s="219">
        <f t="shared" ref="AC15:AC21" si="11">AA15*$C$14</f>
        <v>79346.215197257377</v>
      </c>
      <c r="AE15" s="219">
        <f t="shared" ref="AE15:AE21" si="12">AC15*$C$14</f>
        <v>82123.332729161382</v>
      </c>
      <c r="AG15" s="219">
        <f t="shared" ref="AG15:AG21" si="13">AE15*$C$14</f>
        <v>84997.64937468202</v>
      </c>
    </row>
    <row r="16" spans="1:34" s="210" customFormat="1" ht="13.8" customHeight="1">
      <c r="A16" s="210" t="s">
        <v>1619</v>
      </c>
      <c r="C16" s="233"/>
      <c r="E16" s="222">
        <f>Application!W857</f>
        <v>48289</v>
      </c>
      <c r="F16" s="222"/>
      <c r="G16" s="222">
        <f t="shared" si="0"/>
        <v>49979.114999999998</v>
      </c>
      <c r="H16" s="222"/>
      <c r="I16" s="222">
        <f t="shared" si="1"/>
        <v>51728.384024999992</v>
      </c>
      <c r="J16" s="222"/>
      <c r="K16" s="222">
        <f t="shared" si="2"/>
        <v>53538.87746587499</v>
      </c>
      <c r="L16" s="222"/>
      <c r="M16" s="222">
        <f t="shared" si="3"/>
        <v>55412.73817718061</v>
      </c>
      <c r="N16" s="222"/>
      <c r="O16" s="222">
        <f t="shared" si="4"/>
        <v>57352.184013381928</v>
      </c>
      <c r="P16" s="222"/>
      <c r="Q16" s="222">
        <f t="shared" si="5"/>
        <v>59359.510453850293</v>
      </c>
      <c r="R16" s="222"/>
      <c r="S16" s="222">
        <f t="shared" si="6"/>
        <v>61437.093319735046</v>
      </c>
      <c r="T16" s="222"/>
      <c r="U16" s="222">
        <f t="shared" si="7"/>
        <v>63587.391585925769</v>
      </c>
      <c r="V16" s="222"/>
      <c r="W16" s="222">
        <f t="shared" si="8"/>
        <v>65812.950291433168</v>
      </c>
      <c r="X16" s="222"/>
      <c r="Y16" s="222">
        <f t="shared" si="9"/>
        <v>68116.403551633324</v>
      </c>
      <c r="Z16" s="222"/>
      <c r="AA16" s="222">
        <f t="shared" si="10"/>
        <v>70500.477675940492</v>
      </c>
      <c r="AB16" s="222"/>
      <c r="AC16" s="222">
        <f t="shared" si="11"/>
        <v>72967.994394598398</v>
      </c>
      <c r="AD16" s="222"/>
      <c r="AE16" s="222">
        <f t="shared" si="12"/>
        <v>75521.874198409336</v>
      </c>
      <c r="AF16" s="222"/>
      <c r="AG16" s="222">
        <f t="shared" si="13"/>
        <v>78165.139795353651</v>
      </c>
    </row>
    <row r="17" spans="1:33" s="210" customFormat="1" ht="13.8" customHeight="1">
      <c r="A17" s="210" t="s">
        <v>342</v>
      </c>
      <c r="C17" s="233"/>
      <c r="E17" s="222">
        <f>Application!W863</f>
        <v>100000</v>
      </c>
      <c r="F17" s="222"/>
      <c r="G17" s="222">
        <f t="shared" si="0"/>
        <v>103499.99999999999</v>
      </c>
      <c r="H17" s="222"/>
      <c r="I17" s="222">
        <f t="shared" si="1"/>
        <v>107122.49999999997</v>
      </c>
      <c r="J17" s="222"/>
      <c r="K17" s="222">
        <f t="shared" si="2"/>
        <v>110871.78749999996</v>
      </c>
      <c r="L17" s="222"/>
      <c r="M17" s="222">
        <f t="shared" si="3"/>
        <v>114752.30006249995</v>
      </c>
      <c r="N17" s="222"/>
      <c r="O17" s="222">
        <f t="shared" si="4"/>
        <v>118768.63056468744</v>
      </c>
      <c r="P17" s="222"/>
      <c r="Q17" s="222">
        <f t="shared" si="5"/>
        <v>122925.53263445149</v>
      </c>
      <c r="R17" s="222"/>
      <c r="S17" s="222">
        <f t="shared" si="6"/>
        <v>127227.92627665728</v>
      </c>
      <c r="T17" s="222"/>
      <c r="U17" s="222">
        <f t="shared" si="7"/>
        <v>131680.90369634028</v>
      </c>
      <c r="V17" s="222"/>
      <c r="W17" s="222">
        <f t="shared" si="8"/>
        <v>136289.73532571219</v>
      </c>
      <c r="X17" s="222"/>
      <c r="Y17" s="222">
        <f t="shared" si="9"/>
        <v>141059.8760621121</v>
      </c>
      <c r="Z17" s="222"/>
      <c r="AA17" s="222">
        <f t="shared" si="10"/>
        <v>145996.97172428601</v>
      </c>
      <c r="AB17" s="222"/>
      <c r="AC17" s="222">
        <f t="shared" si="11"/>
        <v>151106.865734636</v>
      </c>
      <c r="AD17" s="222"/>
      <c r="AE17" s="222">
        <f t="shared" si="12"/>
        <v>156395.60603534823</v>
      </c>
      <c r="AF17" s="222"/>
      <c r="AG17" s="222">
        <f t="shared" si="13"/>
        <v>161869.4522465854</v>
      </c>
    </row>
    <row r="18" spans="1:33" s="210" customFormat="1" ht="13.8" customHeight="1">
      <c r="A18" s="210" t="s">
        <v>2692</v>
      </c>
      <c r="C18" s="233"/>
      <c r="E18" s="222">
        <f>Application!W870</f>
        <v>193700</v>
      </c>
      <c r="F18" s="222"/>
      <c r="G18" s="222">
        <f t="shared" si="0"/>
        <v>200479.49999999997</v>
      </c>
      <c r="H18" s="222"/>
      <c r="I18" s="222">
        <f t="shared" si="1"/>
        <v>207496.28249999994</v>
      </c>
      <c r="J18" s="222"/>
      <c r="K18" s="222">
        <f t="shared" si="2"/>
        <v>214758.65238749993</v>
      </c>
      <c r="L18" s="222"/>
      <c r="M18" s="222">
        <f t="shared" si="3"/>
        <v>222275.20522106241</v>
      </c>
      <c r="N18" s="222"/>
      <c r="O18" s="222">
        <f t="shared" si="4"/>
        <v>230054.83740379958</v>
      </c>
      <c r="P18" s="222"/>
      <c r="Q18" s="222">
        <f t="shared" si="5"/>
        <v>238106.75671293255</v>
      </c>
      <c r="R18" s="222"/>
      <c r="S18" s="222">
        <f t="shared" si="6"/>
        <v>246440.49319788517</v>
      </c>
      <c r="T18" s="222"/>
      <c r="U18" s="222">
        <f t="shared" si="7"/>
        <v>255065.91045981113</v>
      </c>
      <c r="V18" s="222"/>
      <c r="W18" s="222">
        <f t="shared" si="8"/>
        <v>263993.21732590452</v>
      </c>
      <c r="X18" s="222"/>
      <c r="Y18" s="222">
        <f t="shared" si="9"/>
        <v>273232.97993231117</v>
      </c>
      <c r="Z18" s="222"/>
      <c r="AA18" s="222">
        <f t="shared" si="10"/>
        <v>282796.13422994205</v>
      </c>
      <c r="AB18" s="222"/>
      <c r="AC18" s="222">
        <f t="shared" si="11"/>
        <v>292693.99892798997</v>
      </c>
      <c r="AD18" s="222"/>
      <c r="AE18" s="222">
        <f t="shared" si="12"/>
        <v>302938.28889046959</v>
      </c>
      <c r="AF18" s="222"/>
      <c r="AG18" s="222">
        <f t="shared" si="13"/>
        <v>313541.129001636</v>
      </c>
    </row>
    <row r="19" spans="1:33" s="210" customFormat="1" ht="13.8" customHeight="1">
      <c r="A19" s="210" t="s">
        <v>1633</v>
      </c>
      <c r="C19" s="233"/>
      <c r="E19" s="222">
        <f>Application!W872</f>
        <v>120000</v>
      </c>
      <c r="F19" s="222"/>
      <c r="G19" s="222">
        <f t="shared" si="0"/>
        <v>124199.99999999999</v>
      </c>
      <c r="H19" s="222"/>
      <c r="I19" s="222">
        <f t="shared" si="1"/>
        <v>128546.99999999997</v>
      </c>
      <c r="J19" s="222"/>
      <c r="K19" s="222">
        <f t="shared" si="2"/>
        <v>133046.14499999996</v>
      </c>
      <c r="L19" s="222"/>
      <c r="M19" s="222">
        <f t="shared" si="3"/>
        <v>137702.76007499994</v>
      </c>
      <c r="N19" s="222"/>
      <c r="O19" s="222">
        <f t="shared" si="4"/>
        <v>142522.35667762492</v>
      </c>
      <c r="P19" s="222"/>
      <c r="Q19" s="222">
        <f t="shared" si="5"/>
        <v>147510.63916134179</v>
      </c>
      <c r="R19" s="222"/>
      <c r="S19" s="222">
        <f t="shared" si="6"/>
        <v>152673.51153198874</v>
      </c>
      <c r="T19" s="222"/>
      <c r="U19" s="222">
        <f t="shared" si="7"/>
        <v>158017.08443560833</v>
      </c>
      <c r="V19" s="222"/>
      <c r="W19" s="222">
        <f t="shared" si="8"/>
        <v>163547.68239085461</v>
      </c>
      <c r="X19" s="222"/>
      <c r="Y19" s="222">
        <f t="shared" si="9"/>
        <v>169271.85127453451</v>
      </c>
      <c r="Z19" s="222"/>
      <c r="AA19" s="222">
        <f t="shared" si="10"/>
        <v>175196.3660691432</v>
      </c>
      <c r="AB19" s="222"/>
      <c r="AC19" s="222">
        <f t="shared" si="11"/>
        <v>181328.23888156319</v>
      </c>
      <c r="AD19" s="222"/>
      <c r="AE19" s="222">
        <f t="shared" si="12"/>
        <v>187674.7272424179</v>
      </c>
      <c r="AF19" s="222"/>
      <c r="AG19" s="222">
        <f t="shared" si="13"/>
        <v>194243.34269590251</v>
      </c>
    </row>
    <row r="20" spans="1:33" s="210" customFormat="1" ht="13.8" customHeight="1">
      <c r="A20" s="210" t="s">
        <v>344</v>
      </c>
      <c r="C20" s="233"/>
      <c r="E20" s="222">
        <f>Application!W881</f>
        <v>88171</v>
      </c>
      <c r="F20" s="222"/>
      <c r="G20" s="222">
        <f t="shared" si="0"/>
        <v>91256.984999999986</v>
      </c>
      <c r="H20" s="222"/>
      <c r="I20" s="222">
        <f t="shared" si="1"/>
        <v>94450.979474999971</v>
      </c>
      <c r="J20" s="222"/>
      <c r="K20" s="222">
        <f t="shared" si="2"/>
        <v>97756.763756624961</v>
      </c>
      <c r="L20" s="222"/>
      <c r="M20" s="222">
        <f t="shared" si="3"/>
        <v>101178.25048810683</v>
      </c>
      <c r="N20" s="222"/>
      <c r="O20" s="222">
        <f t="shared" si="4"/>
        <v>104719.48925519057</v>
      </c>
      <c r="P20" s="222"/>
      <c r="Q20" s="222">
        <f t="shared" si="5"/>
        <v>108384.67137912223</v>
      </c>
      <c r="R20" s="222"/>
      <c r="S20" s="222">
        <f t="shared" si="6"/>
        <v>112178.13487739149</v>
      </c>
      <c r="T20" s="222"/>
      <c r="U20" s="222">
        <f t="shared" si="7"/>
        <v>116104.36959810019</v>
      </c>
      <c r="V20" s="222"/>
      <c r="W20" s="222">
        <f t="shared" si="8"/>
        <v>120168.02253403369</v>
      </c>
      <c r="X20" s="222"/>
      <c r="Y20" s="222">
        <f t="shared" si="9"/>
        <v>124373.90332272486</v>
      </c>
      <c r="Z20" s="222"/>
      <c r="AA20" s="222">
        <f t="shared" si="10"/>
        <v>128726.98993902022</v>
      </c>
      <c r="AB20" s="222"/>
      <c r="AC20" s="222">
        <f t="shared" si="11"/>
        <v>133232.43458688591</v>
      </c>
      <c r="AD20" s="222"/>
      <c r="AE20" s="222">
        <f t="shared" si="12"/>
        <v>137895.5697974269</v>
      </c>
      <c r="AF20" s="222"/>
      <c r="AG20" s="222">
        <f t="shared" si="13"/>
        <v>142721.91474033683</v>
      </c>
    </row>
    <row r="21" spans="1:33" s="210" customFormat="1" ht="13.8" customHeight="1">
      <c r="A21" s="226" t="s">
        <v>2693</v>
      </c>
      <c r="B21" s="226"/>
      <c r="C21" s="233"/>
      <c r="E21" s="232">
        <f>Application!W888</f>
        <v>0</v>
      </c>
      <c r="F21" s="222"/>
      <c r="G21" s="232">
        <f t="shared" si="0"/>
        <v>0</v>
      </c>
      <c r="H21" s="222"/>
      <c r="I21" s="232">
        <f t="shared" si="1"/>
        <v>0</v>
      </c>
      <c r="J21" s="222"/>
      <c r="K21" s="232">
        <f t="shared" si="2"/>
        <v>0</v>
      </c>
      <c r="L21" s="222"/>
      <c r="M21" s="232">
        <f t="shared" si="3"/>
        <v>0</v>
      </c>
      <c r="N21" s="222"/>
      <c r="O21" s="232">
        <f t="shared" si="4"/>
        <v>0</v>
      </c>
      <c r="P21" s="222"/>
      <c r="Q21" s="232">
        <f t="shared" si="5"/>
        <v>0</v>
      </c>
      <c r="R21" s="222"/>
      <c r="S21" s="232">
        <f t="shared" si="6"/>
        <v>0</v>
      </c>
      <c r="T21" s="222"/>
      <c r="U21" s="232">
        <f t="shared" si="7"/>
        <v>0</v>
      </c>
      <c r="V21" s="222"/>
      <c r="W21" s="232">
        <f t="shared" si="8"/>
        <v>0</v>
      </c>
      <c r="X21" s="222"/>
      <c r="Y21" s="232">
        <f t="shared" si="9"/>
        <v>0</v>
      </c>
      <c r="Z21" s="222"/>
      <c r="AA21" s="232">
        <f t="shared" si="10"/>
        <v>0</v>
      </c>
      <c r="AB21" s="222"/>
      <c r="AC21" s="232">
        <f t="shared" si="11"/>
        <v>0</v>
      </c>
      <c r="AD21" s="222"/>
      <c r="AE21" s="232">
        <f t="shared" si="12"/>
        <v>0</v>
      </c>
      <c r="AF21" s="222"/>
      <c r="AG21" s="232">
        <f t="shared" si="13"/>
        <v>0</v>
      </c>
    </row>
    <row r="22" spans="1:33" s="223" customFormat="1" ht="13.8" customHeight="1">
      <c r="A22" s="223" t="s">
        <v>2694</v>
      </c>
      <c r="C22" s="233"/>
      <c r="E22" s="223">
        <f>SUM(E15:E21)</f>
        <v>602670</v>
      </c>
      <c r="G22" s="223">
        <f>SUM(G15:G21)</f>
        <v>623763.44999999995</v>
      </c>
      <c r="I22" s="223">
        <f>SUM(I15:I21)</f>
        <v>645595.17074999982</v>
      </c>
      <c r="K22" s="223">
        <f>SUM(K15:K21)</f>
        <v>668191.00172624981</v>
      </c>
      <c r="M22" s="223">
        <f>SUM(M15:M21)</f>
        <v>691577.68678666849</v>
      </c>
      <c r="O22" s="223">
        <f>SUM(O15:O21)</f>
        <v>715782.90582420188</v>
      </c>
      <c r="Q22" s="223">
        <f>SUM(Q15:Q21)</f>
        <v>740835.30752804875</v>
      </c>
      <c r="S22" s="223">
        <f>SUM(S15:S21)</f>
        <v>766764.54329153046</v>
      </c>
      <c r="U22" s="223">
        <f>SUM(U15:U21)</f>
        <v>793601.30230673403</v>
      </c>
      <c r="W22" s="223">
        <f>SUM(W15:W21)</f>
        <v>821377.34788746969</v>
      </c>
      <c r="Y22" s="223">
        <f>SUM(Y15:Y21)</f>
        <v>850125.55506353092</v>
      </c>
      <c r="AA22" s="223">
        <f>SUM(AA15:AA21)</f>
        <v>879879.94949075463</v>
      </c>
      <c r="AC22" s="223">
        <f>SUM(AC15:AC21)</f>
        <v>910675.74772293074</v>
      </c>
      <c r="AE22" s="223">
        <f>SUM(AE15:AE21)</f>
        <v>942549.39889323339</v>
      </c>
      <c r="AG22" s="223">
        <f>SUM(AG15:AG21)</f>
        <v>975538.62785449647</v>
      </c>
    </row>
    <row r="23" spans="1:33" s="210" customFormat="1" ht="13.8" customHeight="1">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ustomHeight="1">
      <c r="A24" s="210" t="s">
        <v>2695</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ustomHeight="1">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ustomHeight="1">
      <c r="A26" s="210" t="s">
        <v>2696</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ustomHeight="1">
      <c r="A27" s="210" t="s">
        <v>2399</v>
      </c>
      <c r="C27" s="237">
        <v>1.0349999999999999</v>
      </c>
      <c r="E27" s="222">
        <f>Application!AC897</f>
        <v>17330</v>
      </c>
      <c r="F27" s="222"/>
      <c r="G27" s="222">
        <f>E27*$C$27</f>
        <v>17936.55</v>
      </c>
      <c r="H27" s="222"/>
      <c r="I27" s="222">
        <f>G27*$C$27</f>
        <v>18564.329249999999</v>
      </c>
      <c r="J27" s="222"/>
      <c r="K27" s="222">
        <f>I27*$C$27</f>
        <v>19214.080773749996</v>
      </c>
      <c r="L27" s="222"/>
      <c r="M27" s="222">
        <f>K27*$C$27</f>
        <v>19886.573600831245</v>
      </c>
      <c r="N27" s="222"/>
      <c r="O27" s="222">
        <f>M27*$C$27</f>
        <v>20582.603676860337</v>
      </c>
      <c r="P27" s="222"/>
      <c r="Q27" s="222">
        <f>O27*$C$27</f>
        <v>21302.994805550446</v>
      </c>
      <c r="R27" s="222"/>
      <c r="S27" s="222">
        <f>Q27*$C$27</f>
        <v>22048.599623744711</v>
      </c>
      <c r="T27" s="222"/>
      <c r="U27" s="222">
        <f>S27*$C$27</f>
        <v>22820.300610575774</v>
      </c>
      <c r="V27" s="222"/>
      <c r="W27" s="222">
        <f>U27*$C$27</f>
        <v>23619.011131945925</v>
      </c>
      <c r="X27" s="222"/>
      <c r="Y27" s="222">
        <f>W27*$C$27</f>
        <v>24445.67652156403</v>
      </c>
      <c r="Z27" s="222"/>
      <c r="AA27" s="222">
        <f>Y27*$C$27</f>
        <v>25301.27519981877</v>
      </c>
      <c r="AB27" s="222"/>
      <c r="AC27" s="222">
        <f>AA27*$C$27</f>
        <v>26186.819831812427</v>
      </c>
      <c r="AD27" s="222"/>
      <c r="AE27" s="222">
        <f>AC27*$C$27</f>
        <v>27103.358525925858</v>
      </c>
      <c r="AF27" s="222"/>
      <c r="AG27" s="222">
        <f>AE27*$C$27</f>
        <v>28051.976074333259</v>
      </c>
    </row>
    <row r="28" spans="1:33" s="210" customFormat="1" ht="13.8" customHeight="1">
      <c r="A28" s="210" t="s">
        <v>2697</v>
      </c>
      <c r="C28" s="237">
        <v>1.02</v>
      </c>
      <c r="E28" s="222">
        <f>Application!AC898</f>
        <v>39600</v>
      </c>
      <c r="F28" s="222"/>
      <c r="G28" s="222">
        <f>$C$28*E28</f>
        <v>40392</v>
      </c>
      <c r="H28" s="222"/>
      <c r="I28" s="222">
        <f t="shared" ref="I28" si="14">$C$28*G28</f>
        <v>41199.840000000004</v>
      </c>
      <c r="J28" s="222"/>
      <c r="K28" s="222">
        <f t="shared" ref="K28" si="15">$C$28*I28</f>
        <v>42023.836800000005</v>
      </c>
      <c r="L28" s="222"/>
      <c r="M28" s="222">
        <f t="shared" ref="M28" si="16">$C$28*K28</f>
        <v>42864.313536000009</v>
      </c>
      <c r="N28" s="222"/>
      <c r="O28" s="222">
        <f t="shared" ref="O28" si="17">$C$28*M28</f>
        <v>43721.599806720013</v>
      </c>
      <c r="P28" s="222"/>
      <c r="Q28" s="222">
        <f t="shared" ref="Q28" si="18">$C$28*O28</f>
        <v>44596.031802854413</v>
      </c>
      <c r="R28" s="222"/>
      <c r="S28" s="222">
        <f t="shared" ref="S28" si="19">$C$28*Q28</f>
        <v>45487.952438911503</v>
      </c>
      <c r="T28" s="222"/>
      <c r="U28" s="222">
        <f t="shared" ref="U28" si="20">$C$28*S28</f>
        <v>46397.711487689732</v>
      </c>
      <c r="V28" s="222"/>
      <c r="W28" s="222">
        <f t="shared" ref="W28" si="21">$C$28*U28</f>
        <v>47325.665717443524</v>
      </c>
      <c r="X28" s="222"/>
      <c r="Y28" s="222">
        <f t="shared" ref="Y28" si="22">$C$28*W28</f>
        <v>48272.179031792395</v>
      </c>
      <c r="Z28" s="222"/>
      <c r="AA28" s="222">
        <f t="shared" ref="AA28" si="23">$C$28*Y28</f>
        <v>49237.62261242824</v>
      </c>
      <c r="AB28" s="222"/>
      <c r="AC28" s="222">
        <f t="shared" ref="AC28" si="24">$C$28*AA28</f>
        <v>50222.375064676809</v>
      </c>
      <c r="AD28" s="222"/>
      <c r="AE28" s="222">
        <f t="shared" ref="AE28" si="25">$C$28*AC28</f>
        <v>51226.822565970346</v>
      </c>
      <c r="AF28" s="222"/>
      <c r="AG28" s="222">
        <f t="shared" ref="AG28" si="26">$C$28*AE28</f>
        <v>52251.359017289753</v>
      </c>
    </row>
    <row r="29" spans="1:33" s="210" customFormat="1" ht="13.8" customHeight="1">
      <c r="A29" s="210" t="s">
        <v>2698</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ustomHeight="1">
      <c r="A30" s="210" t="s">
        <v>2699</v>
      </c>
      <c r="C30" s="237">
        <v>1.02</v>
      </c>
      <c r="E30" s="222">
        <f>Application!AC900</f>
        <v>7000</v>
      </c>
      <c r="F30" s="222"/>
      <c r="G30" s="222">
        <f>E30*$C$30</f>
        <v>7140</v>
      </c>
      <c r="H30" s="222"/>
      <c r="I30" s="222">
        <f>G30*$C$30</f>
        <v>7282.8</v>
      </c>
      <c r="J30" s="222"/>
      <c r="K30" s="222">
        <f>I30*$C$30</f>
        <v>7428.4560000000001</v>
      </c>
      <c r="L30" s="222"/>
      <c r="M30" s="222">
        <f>K30*$C$30</f>
        <v>7577.0251200000002</v>
      </c>
      <c r="N30" s="222"/>
      <c r="O30" s="222">
        <f>M30*$C$30</f>
        <v>7728.5656224000004</v>
      </c>
      <c r="P30" s="222"/>
      <c r="Q30" s="222">
        <f>O30*$C$30</f>
        <v>7883.1369348480002</v>
      </c>
      <c r="R30" s="222"/>
      <c r="S30" s="222">
        <f>Q30*$C$30</f>
        <v>8040.7996735449606</v>
      </c>
      <c r="T30" s="222"/>
      <c r="U30" s="222">
        <f>S30*$C$30</f>
        <v>8201.6156670158598</v>
      </c>
      <c r="V30" s="222"/>
      <c r="W30" s="222">
        <f>U30*$C$30</f>
        <v>8365.6479803561779</v>
      </c>
      <c r="X30" s="222"/>
      <c r="Y30" s="222">
        <f>W30*$C$30</f>
        <v>8532.9609399633009</v>
      </c>
      <c r="Z30" s="222"/>
      <c r="AA30" s="222">
        <f>Y30*$C$30</f>
        <v>8703.6201587625674</v>
      </c>
      <c r="AB30" s="222"/>
      <c r="AC30" s="222">
        <f>AA30*$C$30</f>
        <v>8877.692561937818</v>
      </c>
      <c r="AD30" s="222"/>
      <c r="AE30" s="222">
        <f>AC30*$C$30</f>
        <v>9055.2464131765737</v>
      </c>
      <c r="AF30" s="222"/>
      <c r="AG30" s="222">
        <f>AE30*$C$30</f>
        <v>9236.3513414401059</v>
      </c>
    </row>
    <row r="31" spans="1:33" s="210" customFormat="1" ht="13.8" customHeight="1">
      <c r="A31" s="210" t="s">
        <v>2700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ustomHeight="1">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ustomHeight="1">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ustomHeight="1">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ustomHeight="1">
      <c r="A35" s="223" t="s">
        <v>1644</v>
      </c>
      <c r="C35" s="224"/>
      <c r="E35" s="223">
        <f>SUM(E22:E33)</f>
        <v>666600</v>
      </c>
      <c r="G35" s="223">
        <f>SUM(G22:G33)</f>
        <v>689232</v>
      </c>
      <c r="I35" s="223">
        <f>SUM(I22:I33)</f>
        <v>712642.13999999978</v>
      </c>
      <c r="K35" s="223">
        <f>SUM(K22:K33)</f>
        <v>736857.37529999984</v>
      </c>
      <c r="M35" s="223">
        <f>SUM(M22:M33)</f>
        <v>761905.59904349968</v>
      </c>
      <c r="O35" s="223">
        <f>SUM(O22:O33)</f>
        <v>787815.67493018229</v>
      </c>
      <c r="Q35" s="223">
        <f>SUM(Q22:Q33)</f>
        <v>814617.47107130161</v>
      </c>
      <c r="S35" s="223">
        <f>SUM(S22:S33)</f>
        <v>842341.89502773166</v>
      </c>
      <c r="U35" s="223">
        <f>SUM(U22:U33)</f>
        <v>871020.9300720155</v>
      </c>
      <c r="W35" s="223">
        <f>SUM(W22:W33)</f>
        <v>900687.67271721526</v>
      </c>
      <c r="Y35" s="223">
        <f>SUM(Y22:Y33)</f>
        <v>931376.37155685073</v>
      </c>
      <c r="AA35" s="223">
        <f>SUM(AA22:AA33)</f>
        <v>963122.46746176423</v>
      </c>
      <c r="AC35" s="223">
        <f>SUM(AC22:AC33)</f>
        <v>995962.63518135785</v>
      </c>
      <c r="AE35" s="223">
        <f>SUM(AE22:AE33)</f>
        <v>1029934.8263983062</v>
      </c>
      <c r="AG35" s="223">
        <f>SUM(AG22:AG33)</f>
        <v>1065078.3142875596</v>
      </c>
    </row>
    <row r="36" spans="1:33" s="210" customFormat="1" ht="13.8" customHeight="1">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ustomHeight="1">
      <c r="A37" s="223" t="s">
        <v>2701</v>
      </c>
      <c r="C37" s="224"/>
      <c r="E37" s="223">
        <f>E11-E35</f>
        <v>448361.80000000005</v>
      </c>
      <c r="G37" s="223">
        <f>G11-G35</f>
        <v>453580.09499999997</v>
      </c>
      <c r="I37" s="223">
        <f>I11-I35</f>
        <v>458716.03237500007</v>
      </c>
      <c r="K37" s="223">
        <f>K11-K35</f>
        <v>463760.04188437492</v>
      </c>
      <c r="M37" s="223">
        <f>M11-M35</f>
        <v>468702.04988048435</v>
      </c>
      <c r="O37" s="223">
        <f>O11-O35</f>
        <v>473531.45745310117</v>
      </c>
      <c r="Q37" s="223">
        <f>Q11-Q35</f>
        <v>478237.11770248797</v>
      </c>
      <c r="S37" s="223">
        <f>S11-S35</f>
        <v>482807.31210794498</v>
      </c>
      <c r="U37" s="223">
        <f>U11-U35</f>
        <v>487229.72595744615</v>
      </c>
      <c r="W37" s="223">
        <f>W11-W35</f>
        <v>491491.42280268366</v>
      </c>
      <c r="Y37" s="223">
        <f>Y11-Y35</f>
        <v>495578.81790254114</v>
      </c>
      <c r="AA37" s="223">
        <f>AA11-AA35</f>
        <v>499477.65061663731</v>
      </c>
      <c r="AC37" s="223">
        <f>AC11-AC35</f>
        <v>503172.95570917916</v>
      </c>
      <c r="AE37" s="223">
        <f>AE11-AE35</f>
        <v>506649.03352187353</v>
      </c>
      <c r="AG37" s="223">
        <f>AG11-AG35</f>
        <v>509889.41897315113</v>
      </c>
    </row>
    <row r="38" spans="1:33" s="210" customFormat="1" ht="13.8" customHeight="1">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ustomHeight="1">
      <c r="A39" s="218" t="s">
        <v>2702</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ustomHeight="1">
      <c r="A40" s="225" t="str">
        <f>Application!C635</f>
        <v>Permanent Loan</v>
      </c>
      <c r="B40" s="226"/>
      <c r="C40" s="220"/>
      <c r="E40" s="222">
        <f>Application!AF635</f>
        <v>389603</v>
      </c>
      <c r="F40" s="222"/>
      <c r="G40" s="222">
        <f>$E$40</f>
        <v>389603</v>
      </c>
      <c r="H40" s="222"/>
      <c r="I40" s="222">
        <f>$E$40</f>
        <v>389603</v>
      </c>
      <c r="J40" s="222"/>
      <c r="K40" s="222">
        <f>$E$40</f>
        <v>389603</v>
      </c>
      <c r="L40" s="222"/>
      <c r="M40" s="222">
        <f>$E$40</f>
        <v>389603</v>
      </c>
      <c r="N40" s="222"/>
      <c r="O40" s="222">
        <f>$E$40</f>
        <v>389603</v>
      </c>
      <c r="P40" s="222"/>
      <c r="Q40" s="222">
        <f>$E$40</f>
        <v>389603</v>
      </c>
      <c r="R40" s="222"/>
      <c r="S40" s="222">
        <f>$E$40</f>
        <v>389603</v>
      </c>
      <c r="T40" s="222"/>
      <c r="U40" s="222">
        <f>$E$40</f>
        <v>389603</v>
      </c>
      <c r="V40" s="222"/>
      <c r="W40" s="222">
        <f>$E$40</f>
        <v>389603</v>
      </c>
      <c r="X40" s="222"/>
      <c r="Y40" s="222">
        <f>$E$40</f>
        <v>389603</v>
      </c>
      <c r="Z40" s="222"/>
      <c r="AA40" s="222">
        <f>$E$40</f>
        <v>389603</v>
      </c>
      <c r="AB40" s="222"/>
      <c r="AC40" s="222">
        <f>$E$40</f>
        <v>389603</v>
      </c>
      <c r="AD40" s="222"/>
      <c r="AE40" s="222">
        <f>$E$40</f>
        <v>389603</v>
      </c>
      <c r="AF40" s="222"/>
      <c r="AG40" s="222">
        <f>$E$40</f>
        <v>389603</v>
      </c>
    </row>
    <row r="41" spans="1:33" s="210" customFormat="1" ht="13.8" customHeight="1">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ustomHeight="1">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ustomHeight="1">
      <c r="A43" s="223" t="s">
        <v>2703</v>
      </c>
      <c r="C43" s="224"/>
      <c r="E43" s="223">
        <f>SUM(E40:E42)</f>
        <v>389603</v>
      </c>
      <c r="G43" s="223">
        <f>SUM(G40:G42)</f>
        <v>389603</v>
      </c>
      <c r="I43" s="223">
        <f>SUM(I40:I42)</f>
        <v>389603</v>
      </c>
      <c r="K43" s="223">
        <f>SUM(K40:K42)</f>
        <v>389603</v>
      </c>
      <c r="M43" s="223">
        <f>SUM(M40:M42)</f>
        <v>389603</v>
      </c>
      <c r="O43" s="223">
        <f>SUM(O40:O42)</f>
        <v>389603</v>
      </c>
      <c r="Q43" s="223">
        <f>SUM(Q40:Q42)</f>
        <v>389603</v>
      </c>
      <c r="S43" s="223">
        <f>SUM(S40:S42)</f>
        <v>389603</v>
      </c>
      <c r="U43" s="223">
        <f>SUM(U40:U42)</f>
        <v>389603</v>
      </c>
      <c r="W43" s="223">
        <f>SUM(W40:W42)</f>
        <v>389603</v>
      </c>
      <c r="Y43" s="223">
        <f>SUM(Y40:Y42)</f>
        <v>389603</v>
      </c>
      <c r="AA43" s="223">
        <f>SUM(AA40:AA42)</f>
        <v>389603</v>
      </c>
      <c r="AC43" s="223">
        <f>SUM(AC40:AC42)</f>
        <v>389603</v>
      </c>
      <c r="AE43" s="223">
        <f>SUM(AE40:AE42)</f>
        <v>389603</v>
      </c>
      <c r="AG43" s="223">
        <f>SUM(AG40:AG42)</f>
        <v>389603</v>
      </c>
    </row>
    <row r="44" spans="1:33" s="210" customFormat="1" ht="13.8" customHeight="1">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ustomHeight="1">
      <c r="A45" s="223" t="s">
        <v>2704</v>
      </c>
      <c r="C45" s="224"/>
      <c r="E45" s="223">
        <f>E37-E43</f>
        <v>58758.800000000047</v>
      </c>
      <c r="G45" s="223">
        <f>G37-G43</f>
        <v>63977.094999999972</v>
      </c>
      <c r="I45" s="223">
        <f>I37-I43</f>
        <v>69113.032375000068</v>
      </c>
      <c r="K45" s="223">
        <f>K37-K43</f>
        <v>74157.041884374921</v>
      </c>
      <c r="M45" s="223">
        <f>M37-M43</f>
        <v>79099.049880484352</v>
      </c>
      <c r="O45" s="223">
        <f>O37-O43</f>
        <v>83928.457453101175</v>
      </c>
      <c r="Q45" s="223">
        <f>Q37-Q43</f>
        <v>88634.117702487973</v>
      </c>
      <c r="S45" s="223">
        <f>S37-S43</f>
        <v>93204.312107944977</v>
      </c>
      <c r="U45" s="223">
        <f>U37-U43</f>
        <v>97626.72595744615</v>
      </c>
      <c r="W45" s="223">
        <f>W37-W43</f>
        <v>101888.42280268366</v>
      </c>
      <c r="Y45" s="223">
        <f>Y37-Y43</f>
        <v>105975.81790254114</v>
      </c>
      <c r="AA45" s="223">
        <f>AA37-AA43</f>
        <v>109874.65061663731</v>
      </c>
      <c r="AC45" s="223">
        <f>AC37-AC43</f>
        <v>113569.95570917916</v>
      </c>
      <c r="AE45" s="223">
        <f>AE37-AE43</f>
        <v>117046.03352187353</v>
      </c>
      <c r="AG45" s="223">
        <f>AG37-AG43</f>
        <v>120286.41897315113</v>
      </c>
    </row>
    <row r="46" spans="1:33" s="210" customFormat="1" ht="13.8" customHeight="1">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ustomHeight="1">
      <c r="A47" s="227" t="s">
        <v>2705</v>
      </c>
      <c r="C47" s="220"/>
      <c r="E47" s="227">
        <f>E45/(E4+E6+E8)</f>
        <v>4.6420140874890617E-2</v>
      </c>
      <c r="G47" s="227">
        <f>G45/(G4+G6+G8)</f>
        <v>4.9309907417562644E-2</v>
      </c>
      <c r="I47" s="227">
        <f>I45/(I4+I6+I8)</f>
        <v>5.1969166773892454E-2</v>
      </c>
      <c r="K47" s="227">
        <f>K45/(K4+K6+K8)</f>
        <v>5.4401933798109113E-2</v>
      </c>
      <c r="M47" s="227">
        <f>M45/(M4+M6+M8)</f>
        <v>5.6612109965107398E-2</v>
      </c>
      <c r="O47" s="227">
        <f>O45/(O4+O6+O8)</f>
        <v>5.8603485983909381E-2</v>
      </c>
      <c r="Q47" s="227">
        <f>Q45/(Q4+Q6+Q8)</f>
        <v>6.0379744345909703E-2</v>
      </c>
      <c r="S47" s="227">
        <f>S45/(S4+S6+S8)</f>
        <v>6.1944461809473453E-2</v>
      </c>
      <c r="U47" s="227">
        <f>U45/(U4+U6+U8)</f>
        <v>6.3301111822433351E-2</v>
      </c>
      <c r="W47" s="227">
        <f>W45/(W4+W6+W8)</f>
        <v>6.4453066883978033E-2</v>
      </c>
      <c r="Y47" s="227">
        <f>Y45/(Y4+Y6+Y8)</f>
        <v>6.5403600847399657E-2</v>
      </c>
      <c r="AA47" s="227">
        <f>AA45/(AA4+AA6+AA8)</f>
        <v>6.6155891165125325E-2</v>
      </c>
      <c r="AC47" s="227">
        <f>AC45/(AC4+AC6+AC8)</f>
        <v>6.6713021077430032E-2</v>
      </c>
      <c r="AE47" s="227">
        <f>AE45/(AE4+AE6+AE8)</f>
        <v>6.7077981746181459E-2</v>
      </c>
      <c r="AG47" s="227">
        <f>AG45/(AG4+AG6+AG8)</f>
        <v>6.7253674334949179E-2</v>
      </c>
    </row>
    <row r="48" spans="1:33" s="227" customFormat="1" ht="13.8" customHeight="1">
      <c r="A48" s="227" t="s">
        <v>2706</v>
      </c>
      <c r="C48" s="220"/>
      <c r="E48" s="227">
        <f>E45/E43</f>
        <v>0.15081711383125912</v>
      </c>
      <c r="G48" s="227">
        <f>G45/G43</f>
        <v>0.16421099170180919</v>
      </c>
      <c r="I48" s="227">
        <f>I45/I43</f>
        <v>0.17739348099218966</v>
      </c>
      <c r="K48" s="227">
        <f>K45/K43</f>
        <v>0.19034001761889646</v>
      </c>
      <c r="M48" s="227">
        <f>M45/M43</f>
        <v>0.20302474539591417</v>
      </c>
      <c r="O48" s="227">
        <f>O45/O43</f>
        <v>0.21542045993768316</v>
      </c>
      <c r="Q48" s="227">
        <f>Q45/Q43</f>
        <v>0.22749855032555696</v>
      </c>
      <c r="S48" s="227">
        <f>S45/S43</f>
        <v>0.23922893845259144</v>
      </c>
      <c r="U48" s="227">
        <f>U45/U43</f>
        <v>0.25058001595841445</v>
      </c>
      <c r="W48" s="227">
        <f>W45/W43</f>
        <v>0.2615185786625967</v>
      </c>
      <c r="Y48" s="227">
        <f>Y45/Y43</f>
        <v>0.27200975840160663</v>
      </c>
      <c r="AA48" s="227">
        <f>AA45/AA43</f>
        <v>0.28201695217089529</v>
      </c>
      <c r="AC48" s="227">
        <f>AC45/AC43</f>
        <v>0.29150174847005583</v>
      </c>
      <c r="AE48" s="227">
        <f>AE45/AE43</f>
        <v>0.30042385074517786</v>
      </c>
      <c r="AG48" s="227">
        <f>AG45/AG43</f>
        <v>0.30874099781867986</v>
      </c>
    </row>
    <row r="49" spans="1:34" s="228" customFormat="1" ht="13.8" customHeight="1">
      <c r="A49" s="228" t="s">
        <v>2352</v>
      </c>
      <c r="C49" s="229"/>
      <c r="E49" s="228">
        <f>E37/E43</f>
        <v>1.1508171138312591</v>
      </c>
      <c r="G49" s="228">
        <f>G37/G43</f>
        <v>1.1642109917018093</v>
      </c>
      <c r="I49" s="228">
        <f>I37/I43</f>
        <v>1.1773934809921898</v>
      </c>
      <c r="K49" s="228">
        <f>K37/K43</f>
        <v>1.1903400176188965</v>
      </c>
      <c r="M49" s="228">
        <f>M37/M43</f>
        <v>1.2030247453959142</v>
      </c>
      <c r="O49" s="228">
        <f>O37/O43</f>
        <v>1.2154204599376832</v>
      </c>
      <c r="Q49" s="228">
        <f>Q37/Q43</f>
        <v>1.2274985503255569</v>
      </c>
      <c r="S49" s="228">
        <f>S37/S43</f>
        <v>1.2392289384525914</v>
      </c>
      <c r="U49" s="228">
        <f>U37/U43</f>
        <v>1.2505800159584144</v>
      </c>
      <c r="W49" s="228">
        <f>W37/W43</f>
        <v>1.2615185786625966</v>
      </c>
      <c r="Y49" s="228">
        <f>Y37/Y43</f>
        <v>1.2720097584016066</v>
      </c>
      <c r="AA49" s="228">
        <f>AA37/AA43</f>
        <v>1.2820169521708953</v>
      </c>
      <c r="AC49" s="228">
        <f>AC37/AC43</f>
        <v>1.2915017484700559</v>
      </c>
      <c r="AE49" s="228">
        <f>AE37/AE43</f>
        <v>1.3004238507451777</v>
      </c>
      <c r="AG49" s="228">
        <f>AG37/AG43</f>
        <v>1.3087409978186799</v>
      </c>
    </row>
    <row r="50" spans="1:34" s="210" customFormat="1" ht="13.8" customHeight="1">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2707</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128" t="s">
        <v>1116</v>
      </c>
      <c r="B52" s="1664"/>
      <c r="C52" s="1664"/>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2112</v>
      </c>
      <c r="C53" s="959">
        <v>1.02</v>
      </c>
      <c r="E53" s="960">
        <v>7500</v>
      </c>
      <c r="G53" s="956">
        <f>E53*$C$53</f>
        <v>7650</v>
      </c>
      <c r="I53" s="956">
        <f>G53*$C$53</f>
        <v>7803</v>
      </c>
      <c r="K53" s="956">
        <f>I53*$C$53</f>
        <v>7959.06</v>
      </c>
      <c r="M53" s="956">
        <f>K53*$C$53</f>
        <v>8118.2412000000004</v>
      </c>
      <c r="O53" s="956">
        <f>M53*$C$53</f>
        <v>8280.6060240000006</v>
      </c>
      <c r="Q53" s="956">
        <f>O53*$C$53</f>
        <v>8446.2181444800008</v>
      </c>
      <c r="S53" s="956">
        <f>Q53*$C$53</f>
        <v>8615.1425073696009</v>
      </c>
      <c r="U53" s="956">
        <f>S53*$C$53</f>
        <v>8787.4453575169937</v>
      </c>
      <c r="W53" s="956">
        <f>U53*$C$53</f>
        <v>8963.1942646673342</v>
      </c>
      <c r="Y53" s="956">
        <f>W53*$C$53</f>
        <v>9142.4581499606811</v>
      </c>
      <c r="AA53" s="956">
        <f>Y53*$C$53</f>
        <v>9325.3073129598943</v>
      </c>
      <c r="AC53" s="956">
        <f>AA53*$C$53</f>
        <v>9511.8134592190927</v>
      </c>
      <c r="AE53" s="956">
        <f>AC53*$C$53</f>
        <v>9702.0497284034755</v>
      </c>
      <c r="AG53" s="956">
        <f>AE53*$C$53</f>
        <v>9896.0907229715449</v>
      </c>
    </row>
    <row r="54" spans="1:34" s="3" customFormat="1">
      <c r="A54" s="3" t="s">
        <v>2708</v>
      </c>
      <c r="C54" s="954"/>
      <c r="E54" s="961">
        <v>7500</v>
      </c>
      <c r="F54" s="956"/>
      <c r="G54" s="956">
        <f>E54*$C$53</f>
        <v>7650</v>
      </c>
      <c r="H54" s="956"/>
      <c r="I54" s="956">
        <f>G54*$C$53</f>
        <v>7803</v>
      </c>
      <c r="J54" s="956"/>
      <c r="K54" s="956">
        <f>I54*$C$53</f>
        <v>7959.06</v>
      </c>
      <c r="L54" s="956"/>
      <c r="M54" s="956">
        <f>K54*$C$53</f>
        <v>8118.2412000000004</v>
      </c>
      <c r="N54" s="956"/>
      <c r="O54" s="956">
        <f>M54*$C$53</f>
        <v>8280.6060240000006</v>
      </c>
      <c r="P54" s="956"/>
      <c r="Q54" s="956">
        <f>O54*$C$53</f>
        <v>8446.2181444800008</v>
      </c>
      <c r="R54" s="956"/>
      <c r="S54" s="956">
        <f>Q54*$C$53</f>
        <v>8615.1425073696009</v>
      </c>
      <c r="T54" s="956"/>
      <c r="U54" s="956">
        <f>S54*$C$53</f>
        <v>8787.4453575169937</v>
      </c>
      <c r="V54" s="956"/>
      <c r="W54" s="956">
        <f>U54*$C$53</f>
        <v>8963.1942646673342</v>
      </c>
      <c r="X54" s="956"/>
      <c r="Y54" s="956">
        <f>W54*$C$53</f>
        <v>9142.4581499606811</v>
      </c>
      <c r="Z54" s="956"/>
      <c r="AA54" s="956">
        <f>Y54*$C$53</f>
        <v>9325.3073129598943</v>
      </c>
      <c r="AB54" s="956"/>
      <c r="AC54" s="956">
        <f>AA54*$C$53</f>
        <v>9511.8134592190927</v>
      </c>
      <c r="AD54" s="956"/>
      <c r="AE54" s="956">
        <f>AC54*$C$53</f>
        <v>9702.0497284034755</v>
      </c>
      <c r="AF54" s="956"/>
      <c r="AG54" s="956">
        <f>AE54*$C$53</f>
        <v>9896.0907229715449</v>
      </c>
      <c r="AH54" s="956"/>
    </row>
    <row r="55" spans="1:34" s="3" customFormat="1">
      <c r="A55" s="3" t="s">
        <v>2709</v>
      </c>
      <c r="C55" s="954"/>
      <c r="E55" s="961"/>
      <c r="F55" s="956"/>
      <c r="G55" s="956">
        <f>E55*$C$53</f>
        <v>0</v>
      </c>
      <c r="H55" s="956"/>
      <c r="I55" s="956">
        <f>G55*$C$53</f>
        <v>0</v>
      </c>
      <c r="J55" s="956"/>
      <c r="K55" s="956">
        <f>I55*$C$53</f>
        <v>0</v>
      </c>
      <c r="L55" s="956"/>
      <c r="M55" s="956">
        <f>K55*$C$53</f>
        <v>0</v>
      </c>
      <c r="N55" s="956"/>
      <c r="O55" s="956">
        <f>M55*$C$53</f>
        <v>0</v>
      </c>
      <c r="P55" s="956"/>
      <c r="Q55" s="956">
        <f>O55*$C$53</f>
        <v>0</v>
      </c>
      <c r="R55" s="956"/>
      <c r="S55" s="956">
        <f>Q55*$C$53</f>
        <v>0</v>
      </c>
      <c r="T55" s="956"/>
      <c r="U55" s="956">
        <f>S55*$C$53</f>
        <v>0</v>
      </c>
      <c r="V55" s="956"/>
      <c r="W55" s="956">
        <f>U55*$C$53</f>
        <v>0</v>
      </c>
      <c r="X55" s="956"/>
      <c r="Y55" s="956">
        <f>W55*$C$53</f>
        <v>0</v>
      </c>
      <c r="Z55" s="956"/>
      <c r="AA55" s="956">
        <f>Y55*$C$53</f>
        <v>0</v>
      </c>
      <c r="AB55" s="956"/>
      <c r="AC55" s="956">
        <f>AA55*$C$53</f>
        <v>0</v>
      </c>
      <c r="AD55" s="956"/>
      <c r="AE55" s="956">
        <f>AC55*$C$53</f>
        <v>0</v>
      </c>
      <c r="AF55" s="956"/>
      <c r="AG55" s="956">
        <f>AE55*$C$53</f>
        <v>0</v>
      </c>
      <c r="AH55" s="956"/>
    </row>
    <row r="56" spans="1:34" s="3" customFormat="1">
      <c r="A56" s="962"/>
      <c r="B56" s="962"/>
      <c r="C56" s="954"/>
      <c r="E56" s="961"/>
      <c r="F56" s="956"/>
      <c r="G56" s="956">
        <f>E56*$C$53</f>
        <v>0</v>
      </c>
      <c r="H56" s="956"/>
      <c r="I56" s="956">
        <f>G56*$C$53</f>
        <v>0</v>
      </c>
      <c r="J56" s="956"/>
      <c r="K56" s="956">
        <f>I56*$C$53</f>
        <v>0</v>
      </c>
      <c r="L56" s="956"/>
      <c r="M56" s="956">
        <f>K56*$C$53</f>
        <v>0</v>
      </c>
      <c r="N56" s="956"/>
      <c r="O56" s="956">
        <f>M56*$C$53</f>
        <v>0</v>
      </c>
      <c r="P56" s="956"/>
      <c r="Q56" s="956">
        <f>O56*$C$53</f>
        <v>0</v>
      </c>
      <c r="R56" s="956"/>
      <c r="S56" s="956">
        <f>Q56*$C$53</f>
        <v>0</v>
      </c>
      <c r="T56" s="956"/>
      <c r="U56" s="956">
        <f>S56*$C$53</f>
        <v>0</v>
      </c>
      <c r="V56" s="956"/>
      <c r="W56" s="956">
        <f>U56*$C$53</f>
        <v>0</v>
      </c>
      <c r="X56" s="956"/>
      <c r="Y56" s="956">
        <f>W56*$C$53</f>
        <v>0</v>
      </c>
      <c r="Z56" s="956"/>
      <c r="AA56" s="956">
        <f>Y56*$C$53</f>
        <v>0</v>
      </c>
      <c r="AB56" s="956"/>
      <c r="AC56" s="956">
        <f>AA56*$C$53</f>
        <v>0</v>
      </c>
      <c r="AD56" s="956"/>
      <c r="AE56" s="956">
        <f>AC56*$C$53</f>
        <v>0</v>
      </c>
      <c r="AF56" s="956"/>
      <c r="AG56" s="956">
        <f>AE56*$C$53</f>
        <v>0</v>
      </c>
      <c r="AH56" s="956"/>
    </row>
    <row r="57" spans="1:34" s="3" customFormat="1">
      <c r="A57" s="962"/>
      <c r="B57" s="962"/>
      <c r="C57" s="954"/>
      <c r="E57" s="963"/>
      <c r="F57" s="956"/>
      <c r="G57" s="964">
        <f>E57*$C$53</f>
        <v>0</v>
      </c>
      <c r="H57" s="956"/>
      <c r="I57" s="964">
        <f>G57*$C$53</f>
        <v>0</v>
      </c>
      <c r="J57" s="956"/>
      <c r="K57" s="964">
        <f>I57*$C$53</f>
        <v>0</v>
      </c>
      <c r="L57" s="956"/>
      <c r="M57" s="964">
        <f>K57*$C$53</f>
        <v>0</v>
      </c>
      <c r="N57" s="956"/>
      <c r="O57" s="964">
        <f>M57*$C$53</f>
        <v>0</v>
      </c>
      <c r="P57" s="956"/>
      <c r="Q57" s="964">
        <f>O57*$C$53</f>
        <v>0</v>
      </c>
      <c r="R57" s="956"/>
      <c r="S57" s="964">
        <f>Q57*$C$53</f>
        <v>0</v>
      </c>
      <c r="T57" s="956"/>
      <c r="U57" s="964">
        <f>S57*$C$53</f>
        <v>0</v>
      </c>
      <c r="V57" s="956"/>
      <c r="W57" s="964">
        <f>U57*$C$53</f>
        <v>0</v>
      </c>
      <c r="X57" s="956"/>
      <c r="Y57" s="964">
        <f>W57*$C$53</f>
        <v>0</v>
      </c>
      <c r="Z57" s="956"/>
      <c r="AA57" s="964">
        <f>Y57*$C$53</f>
        <v>0</v>
      </c>
      <c r="AB57" s="956"/>
      <c r="AC57" s="964">
        <f>AA57*$C$53</f>
        <v>0</v>
      </c>
      <c r="AD57" s="956"/>
      <c r="AE57" s="964">
        <f>AC57*$C$53</f>
        <v>0</v>
      </c>
      <c r="AF57" s="956"/>
      <c r="AG57" s="964">
        <f>AE57*$C$53</f>
        <v>0</v>
      </c>
      <c r="AH57" s="956"/>
    </row>
    <row r="58" spans="1:34" s="3" customFormat="1">
      <c r="A58" s="958" t="s">
        <v>2710</v>
      </c>
      <c r="C58" s="957"/>
      <c r="E58" s="956">
        <f>SUM(E53:E57)</f>
        <v>15000</v>
      </c>
      <c r="F58" s="956"/>
      <c r="G58" s="956">
        <f>SUM(G53:G57)</f>
        <v>15300</v>
      </c>
      <c r="H58" s="956"/>
      <c r="I58" s="956">
        <f>SUM(I53:I57)</f>
        <v>15606</v>
      </c>
      <c r="J58" s="956"/>
      <c r="K58" s="956">
        <f>SUM(K53:K57)</f>
        <v>15918.12</v>
      </c>
      <c r="L58" s="956"/>
      <c r="M58" s="956">
        <f>SUM(M53:M57)</f>
        <v>16236.482400000001</v>
      </c>
      <c r="N58" s="956"/>
      <c r="O58" s="956">
        <f>SUM(O53:O57)</f>
        <v>16561.212048000001</v>
      </c>
      <c r="P58" s="956"/>
      <c r="Q58" s="956">
        <f>SUM(Q53:Q57)</f>
        <v>16892.436288960002</v>
      </c>
      <c r="R58" s="956"/>
      <c r="S58" s="956">
        <f>SUM(S53:S57)</f>
        <v>17230.285014739202</v>
      </c>
      <c r="T58" s="956"/>
      <c r="U58" s="956">
        <f>SUM(U53:U57)</f>
        <v>17574.890715033987</v>
      </c>
      <c r="V58" s="956"/>
      <c r="W58" s="956">
        <f>SUM(W53:W57)</f>
        <v>17926.388529334668</v>
      </c>
      <c r="X58" s="956"/>
      <c r="Y58" s="956">
        <f>SUM(Y53:Y57)</f>
        <v>18284.916299921362</v>
      </c>
      <c r="Z58" s="956"/>
      <c r="AA58" s="956">
        <f>SUM(AA53:AA57)</f>
        <v>18650.614625919789</v>
      </c>
      <c r="AB58" s="956"/>
      <c r="AC58" s="956">
        <f>SUM(AC53:AC57)</f>
        <v>19023.626918438185</v>
      </c>
      <c r="AD58" s="956"/>
      <c r="AE58" s="956">
        <f>SUM(AE53:AE57)</f>
        <v>19404.099456806951</v>
      </c>
      <c r="AF58" s="956"/>
      <c r="AG58" s="956">
        <f>SUM(AG53:AG57)</f>
        <v>19792.18144594309</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2711</v>
      </c>
      <c r="C60" s="965"/>
      <c r="E60" s="958">
        <f>E45-E58</f>
        <v>43758.800000000047</v>
      </c>
      <c r="G60" s="958">
        <f>G45-G58</f>
        <v>48677.094999999972</v>
      </c>
      <c r="I60" s="958">
        <f>I45-I58</f>
        <v>53507.032375000068</v>
      </c>
      <c r="K60" s="958">
        <f>K45-K58</f>
        <v>58238.921884374919</v>
      </c>
      <c r="M60" s="958">
        <f>M45-M58</f>
        <v>62862.567480484351</v>
      </c>
      <c r="O60" s="958">
        <f>O45-O58</f>
        <v>67367.245405101174</v>
      </c>
      <c r="Q60" s="958">
        <f>Q45-Q58</f>
        <v>71741.681413527971</v>
      </c>
      <c r="S60" s="958">
        <f>S45-S58</f>
        <v>75974.027093205776</v>
      </c>
      <c r="U60" s="958">
        <f>U45-U58</f>
        <v>80051.835242412169</v>
      </c>
      <c r="W60" s="958">
        <f>W45-W58</f>
        <v>83962.034273348996</v>
      </c>
      <c r="Y60" s="958">
        <f>Y45-Y58</f>
        <v>87690.901602619779</v>
      </c>
      <c r="AA60" s="958">
        <f>AA45-AA58</f>
        <v>91224.03599071753</v>
      </c>
      <c r="AC60" s="958">
        <f>AC45-AC58</f>
        <v>94546.328790740983</v>
      </c>
      <c r="AE60" s="958">
        <f>AE45-AE58</f>
        <v>97641.934065066569</v>
      </c>
      <c r="AG60" s="958">
        <f>AG45-AG58</f>
        <v>100494.23752720804</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2712</v>
      </c>
      <c r="C62" s="955">
        <v>1</v>
      </c>
      <c r="E62" s="960">
        <f>E60*$C$62</f>
        <v>43758.800000000047</v>
      </c>
      <c r="G62" s="958">
        <f>G60*$C$62</f>
        <v>48677.094999999972</v>
      </c>
      <c r="I62" s="958">
        <f>I60*$C$62</f>
        <v>53507.032375000068</v>
      </c>
      <c r="K62" s="958">
        <f>K60*$C$62</f>
        <v>58238.921884374919</v>
      </c>
      <c r="M62" s="958">
        <f>M60*$C$62</f>
        <v>62862.567480484351</v>
      </c>
      <c r="O62" s="958">
        <f>O60*$C$62</f>
        <v>67367.245405101174</v>
      </c>
      <c r="Q62" s="958">
        <f>Q60*$C$62</f>
        <v>71741.681413527971</v>
      </c>
      <c r="S62" s="958">
        <f>S60*$C$62</f>
        <v>75974.027093205776</v>
      </c>
      <c r="U62" s="958">
        <f>U60*$C$62</f>
        <v>80051.835242412169</v>
      </c>
      <c r="W62" s="958">
        <f>W60*$C$62</f>
        <v>83962.034273348996</v>
      </c>
      <c r="Y62" s="958">
        <f>Y60*$C$62</f>
        <v>87690.901602619779</v>
      </c>
      <c r="AA62" s="958">
        <f>AA60*$C$62</f>
        <v>91224.03599071753</v>
      </c>
      <c r="AC62" s="958">
        <f>AC60*$C$62</f>
        <v>94546.328790740983</v>
      </c>
      <c r="AE62" s="958">
        <f>AE60*$C$62</f>
        <v>97641.934065066569</v>
      </c>
      <c r="AG62" s="958">
        <f>AG60*$C$62</f>
        <v>100494.23752720804</v>
      </c>
    </row>
    <row r="63" spans="1:34" s="958" customFormat="1">
      <c r="A63" s="2128" t="s">
        <v>2739</v>
      </c>
      <c r="B63" s="2129"/>
      <c r="C63" s="2129"/>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2713</v>
      </c>
      <c r="C65" s="955">
        <v>0</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t="s">
        <v>2738</v>
      </c>
      <c r="B66" s="960"/>
      <c r="C66" s="959"/>
      <c r="E66" s="960">
        <f>$E60*$C$65</f>
        <v>0</v>
      </c>
      <c r="G66" s="956">
        <f>G60*$C$65</f>
        <v>0</v>
      </c>
      <c r="I66" s="956">
        <f>I60*$C$65</f>
        <v>0</v>
      </c>
      <c r="K66" s="956">
        <f>K60*$C$65</f>
        <v>0</v>
      </c>
      <c r="M66" s="956">
        <f>M60*$C$65</f>
        <v>0</v>
      </c>
      <c r="O66" s="956">
        <f>O60*$C$65</f>
        <v>0</v>
      </c>
      <c r="Q66" s="956">
        <f>Q60*$C$65</f>
        <v>0</v>
      </c>
      <c r="S66" s="956">
        <f>S60*$C$65</f>
        <v>0</v>
      </c>
      <c r="U66" s="956">
        <f>U60*$C$65</f>
        <v>0</v>
      </c>
      <c r="W66" s="956">
        <f>W60*$C$65</f>
        <v>0</v>
      </c>
      <c r="Y66" s="956">
        <f>Y60*$C$65</f>
        <v>0</v>
      </c>
      <c r="AA66" s="956">
        <f>AA60*$C$65</f>
        <v>0</v>
      </c>
      <c r="AC66" s="956">
        <f>AC60*$C$65</f>
        <v>0</v>
      </c>
      <c r="AE66" s="956">
        <f>AE60*$C$65</f>
        <v>0</v>
      </c>
      <c r="AG66" s="956">
        <f>AG60*$C$65</f>
        <v>0</v>
      </c>
    </row>
    <row r="67" spans="1:34" s="956" customFormat="1">
      <c r="A67" s="961"/>
      <c r="B67" s="961"/>
      <c r="C67" s="966"/>
      <c r="E67" s="960">
        <f>$E60*$C$65</f>
        <v>0</v>
      </c>
      <c r="G67" s="956">
        <f>G60*$C$65</f>
        <v>0</v>
      </c>
      <c r="I67" s="956">
        <f>I60*$C$65</f>
        <v>0</v>
      </c>
      <c r="K67" s="956">
        <f>K60*$C$65</f>
        <v>0</v>
      </c>
      <c r="M67" s="956">
        <f>M60*$C$65</f>
        <v>0</v>
      </c>
      <c r="O67" s="956">
        <f>O60*$C$65</f>
        <v>0</v>
      </c>
      <c r="Q67" s="956">
        <f>Q60*$C$65</f>
        <v>0</v>
      </c>
      <c r="S67" s="956">
        <f>S60*$C$65</f>
        <v>0</v>
      </c>
      <c r="U67" s="956">
        <f>U60*$C$65</f>
        <v>0</v>
      </c>
      <c r="W67" s="956">
        <f>W60*$C$65</f>
        <v>0</v>
      </c>
      <c r="Y67" s="956">
        <f>Y60*$C$65</f>
        <v>0</v>
      </c>
      <c r="AA67" s="956">
        <f>AA60*$C$65</f>
        <v>0</v>
      </c>
      <c r="AC67" s="956">
        <f>AC60*$C$65</f>
        <v>0</v>
      </c>
      <c r="AE67" s="956">
        <f>AE60*$C$65</f>
        <v>0</v>
      </c>
      <c r="AG67" s="956">
        <f>AG60*$C$65</f>
        <v>0</v>
      </c>
    </row>
    <row r="68" spans="1:34" s="956" customFormat="1">
      <c r="A68" s="961"/>
      <c r="B68" s="961"/>
      <c r="C68" s="966"/>
      <c r="E68" s="961"/>
      <c r="G68" s="956">
        <f>E68*$C$66</f>
        <v>0</v>
      </c>
      <c r="I68" s="956">
        <f>G68*$C$66</f>
        <v>0</v>
      </c>
      <c r="K68" s="956">
        <f>I68*$C$66</f>
        <v>0</v>
      </c>
      <c r="M68" s="956">
        <f>K68*$C$66</f>
        <v>0</v>
      </c>
      <c r="O68" s="956">
        <f>M68*$C$66</f>
        <v>0</v>
      </c>
      <c r="Q68" s="956">
        <f>O68*$C$66</f>
        <v>0</v>
      </c>
      <c r="S68" s="956">
        <f>Q68*$C$66</f>
        <v>0</v>
      </c>
      <c r="U68" s="956">
        <f>S68*$C$66</f>
        <v>0</v>
      </c>
      <c r="W68" s="956">
        <f>U68*$C$66</f>
        <v>0</v>
      </c>
      <c r="Y68" s="956">
        <f>W68*$C$66</f>
        <v>0</v>
      </c>
      <c r="AA68" s="956">
        <f>Y68*$C$66</f>
        <v>0</v>
      </c>
      <c r="AC68" s="956">
        <f>AA68*$C$66</f>
        <v>0</v>
      </c>
      <c r="AE68" s="956">
        <f>AC68*$C$66</f>
        <v>0</v>
      </c>
      <c r="AG68" s="956">
        <f>AE68*$C$66</f>
        <v>0</v>
      </c>
    </row>
    <row r="69" spans="1:34" s="956" customFormat="1">
      <c r="A69" s="961"/>
      <c r="B69" s="961"/>
      <c r="C69" s="966"/>
      <c r="E69" s="963"/>
      <c r="G69" s="964">
        <f>E69*$C$66</f>
        <v>0</v>
      </c>
      <c r="I69" s="964">
        <f>G69*$C$66</f>
        <v>0</v>
      </c>
      <c r="K69" s="964">
        <f>I69*$C$66</f>
        <v>0</v>
      </c>
      <c r="M69" s="964">
        <f>K69*$C$66</f>
        <v>0</v>
      </c>
      <c r="O69" s="964">
        <f>M69*$C$66</f>
        <v>0</v>
      </c>
      <c r="Q69" s="964">
        <f>O69*$C$66</f>
        <v>0</v>
      </c>
      <c r="S69" s="964">
        <f>Q69*$C$66</f>
        <v>0</v>
      </c>
      <c r="U69" s="964">
        <f>S69*$C$66</f>
        <v>0</v>
      </c>
      <c r="W69" s="964">
        <f>U69*$C$66</f>
        <v>0</v>
      </c>
      <c r="Y69" s="964">
        <f>W69*$C$66</f>
        <v>0</v>
      </c>
      <c r="AA69" s="964">
        <f>Y69*$C$66</f>
        <v>0</v>
      </c>
      <c r="AC69" s="964">
        <f>AA69*$C$66</f>
        <v>0</v>
      </c>
      <c r="AE69" s="964">
        <f>AC69*$C$66</f>
        <v>0</v>
      </c>
      <c r="AG69" s="964">
        <f>AE69*$C$66</f>
        <v>0</v>
      </c>
    </row>
    <row r="70" spans="1:34" s="956" customFormat="1">
      <c r="A70" s="958" t="s">
        <v>2710</v>
      </c>
      <c r="C70" s="966"/>
      <c r="E70" s="956">
        <f>SUM(E66:E69)</f>
        <v>0</v>
      </c>
      <c r="G70" s="956">
        <f>SUM(G66:G69)</f>
        <v>0</v>
      </c>
      <c r="I70" s="956">
        <f>SUM(I66:I69)</f>
        <v>0</v>
      </c>
      <c r="K70" s="956">
        <f>SUM(K66:K69)</f>
        <v>0</v>
      </c>
      <c r="M70" s="956">
        <f>SUM(M66:M69)</f>
        <v>0</v>
      </c>
      <c r="O70" s="956">
        <f>SUM(O66:O69)</f>
        <v>0</v>
      </c>
      <c r="Q70" s="956">
        <f>SUM(Q66:Q69)</f>
        <v>0</v>
      </c>
      <c r="S70" s="956">
        <f>SUM(S66:S69)</f>
        <v>0</v>
      </c>
      <c r="U70" s="956">
        <f>SUM(U66:U69)</f>
        <v>0</v>
      </c>
      <c r="W70" s="956">
        <f>SUM(W66:W69)</f>
        <v>0</v>
      </c>
      <c r="Y70" s="956">
        <f>SUM(Y66:Y69)</f>
        <v>0</v>
      </c>
      <c r="AA70" s="956">
        <f>SUM(AA66:AA69)</f>
        <v>0</v>
      </c>
      <c r="AC70" s="956">
        <f>SUM(AC66:AC69)</f>
        <v>0</v>
      </c>
      <c r="AE70" s="956">
        <f>SUM(AE66:AE69)</f>
        <v>0</v>
      </c>
      <c r="AG70" s="956">
        <f>SUM(AG66:AG69)</f>
        <v>0</v>
      </c>
    </row>
    <row r="71" spans="1:34" s="956" customFormat="1">
      <c r="A71" s="958"/>
      <c r="C71" s="966"/>
    </row>
    <row r="72" spans="1:34" s="956" customFormat="1">
      <c r="A72" s="958" t="s">
        <v>2714</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2715</v>
      </c>
      <c r="C75" s="183"/>
    </row>
    <row r="76" spans="1:34" s="217" customFormat="1">
      <c r="C76" s="183"/>
    </row>
    <row r="77" spans="1:34" s="234" customFormat="1" ht="30" customHeight="1">
      <c r="A77" s="2126" t="s">
        <v>2716</v>
      </c>
      <c r="B77" s="2127"/>
      <c r="C77" s="2127"/>
      <c r="D77" s="2127"/>
      <c r="E77" s="2127"/>
      <c r="F77" s="2127"/>
      <c r="G77" s="2127"/>
      <c r="H77" s="2127"/>
      <c r="I77" s="2127"/>
      <c r="J77" s="2127"/>
      <c r="K77" s="2127"/>
      <c r="L77" s="2127"/>
      <c r="M77" s="2127"/>
      <c r="N77" s="2127"/>
      <c r="O77" s="2127"/>
      <c r="P77" s="2127"/>
      <c r="Q77" s="2127"/>
      <c r="R77" s="2127"/>
      <c r="S77" s="2127"/>
      <c r="T77" s="2127"/>
      <c r="U77" s="2127"/>
      <c r="V77" s="2127"/>
      <c r="W77" s="2127"/>
      <c r="X77" s="2127"/>
      <c r="Y77" s="2127"/>
      <c r="Z77" s="2127"/>
      <c r="AA77" s="2127"/>
      <c r="AB77" s="2127"/>
      <c r="AC77" s="2127"/>
      <c r="AD77" s="2127"/>
      <c r="AE77" s="2127"/>
      <c r="AF77" s="2127"/>
      <c r="AG77" s="2127"/>
    </row>
  </sheetData>
  <mergeCells count="3">
    <mergeCell ref="A77:AG77"/>
    <mergeCell ref="A63:C63"/>
    <mergeCell ref="A52:C52"/>
  </mergeCells>
  <dataValidations count="1">
    <dataValidation type="list" allowBlank="1" showInputMessage="1" showErrorMessage="1" sqref="A52:C52 A63:C63" xr:uid="{00000000-0002-0000-0B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1"/>
  <headerFooter>
    <oddFooter>&amp;C&amp;P&amp;R&amp;A</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A9"/>
  <sheetViews>
    <sheetView showGridLines="0" workbookViewId="0"/>
  </sheetViews>
  <sheetFormatPr defaultColWidth="0" defaultRowHeight="13.2" zeroHeight="1"/>
  <cols>
    <col min="1" max="1" width="161.6640625" customWidth="1"/>
    <col min="2" max="2" width="8.88671875" hidden="1" customWidth="1"/>
    <col min="3" max="16384" width="8.88671875" hidden="1"/>
  </cols>
  <sheetData>
    <row r="1" spans="1:1" ht="46.8" customHeight="1">
      <c r="A1" s="313" t="s">
        <v>2717</v>
      </c>
    </row>
    <row r="2" spans="1:1" ht="15.6" customHeight="1">
      <c r="A2" s="314"/>
    </row>
    <row r="3" spans="1:1" ht="15.6" customHeight="1">
      <c r="A3" s="315" t="s">
        <v>2718</v>
      </c>
    </row>
    <row r="4" spans="1:1" ht="15.6" customHeight="1">
      <c r="A4" s="315" t="s">
        <v>2719</v>
      </c>
    </row>
    <row r="5" spans="1:1" ht="15.6" customHeight="1">
      <c r="A5" s="315" t="s">
        <v>2720</v>
      </c>
    </row>
    <row r="6" spans="1:1" ht="15.6" customHeight="1">
      <c r="A6" s="315" t="s">
        <v>2721</v>
      </c>
    </row>
    <row r="7" spans="1:1" ht="15.6" customHeight="1">
      <c r="A7" s="315" t="s">
        <v>2722</v>
      </c>
    </row>
    <row r="8" spans="1:1" ht="15.6" customHeight="1">
      <c r="A8" s="346" t="s">
        <v>2723</v>
      </c>
    </row>
    <row r="9" spans="1:1" ht="15.6" customHeight="1">
      <c r="A9" s="315" t="s">
        <v>2724</v>
      </c>
    </row>
  </sheetData>
  <sheetProtection algorithmName="SHA-512" hashValue="AoE9RYxNwKn4SxXZHVxDCTY670jE8RnPjTmgzblf/T3NXfV7rIxS3QFY95UlqgqmCx/6ufkHMcvPfVCLRGUS5g==" saltValue="sxIaRdNFRMgAH3FoP8M8Tw==" spinCount="100000" sheet="1" objects="1" scenarios="1" selectLockedCells="1"/>
  <pageMargins left="0.7" right="0.7" top="0.75" bottom="0.75" header="0.3" footer="0.3"/>
  <pageSetup fitToWidth="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4" width="9.109375" style="204" customWidth="1"/>
    <col min="255" max="16384" width="9.109375" style="204"/>
  </cols>
  <sheetData>
    <row r="1" spans="1:6" s="275" customFormat="1" ht="18" customHeight="1">
      <c r="A1" s="513" t="s">
        <v>2725</v>
      </c>
      <c r="D1" s="280"/>
    </row>
    <row r="2" spans="1:6" s="275" customFormat="1">
      <c r="A2" s="259" t="s">
        <v>2726</v>
      </c>
      <c r="B2" s="261"/>
      <c r="C2" s="261"/>
      <c r="D2" s="258"/>
      <c r="E2" s="262"/>
      <c r="F2" s="261"/>
    </row>
    <row r="3" spans="1:6" s="351" customFormat="1" ht="80.25" customHeight="1">
      <c r="A3" s="277"/>
      <c r="B3" s="263" t="s">
        <v>2727</v>
      </c>
      <c r="C3" s="263" t="s">
        <v>2728</v>
      </c>
      <c r="D3" s="263" t="s">
        <v>2729</v>
      </c>
      <c r="E3" s="260" t="s">
        <v>2730</v>
      </c>
      <c r="F3" s="260"/>
    </row>
    <row r="4" spans="1:6" s="352" customFormat="1">
      <c r="A4" s="264" t="s">
        <v>1827</v>
      </c>
      <c r="B4" s="264"/>
      <c r="C4" s="264"/>
      <c r="D4" s="264"/>
      <c r="E4" s="282"/>
      <c r="F4" s="264"/>
    </row>
    <row r="5" spans="1:6" s="352" customFormat="1">
      <c r="A5" s="364" t="s">
        <v>1828</v>
      </c>
      <c r="B5" s="266">
        <f>'Sources and Uses Budget'!$C4</f>
        <v>1313644</v>
      </c>
      <c r="C5" s="266">
        <f>'Sources and Uses Budget'!$C4</f>
        <v>1313644</v>
      </c>
      <c r="D5" s="270">
        <f t="shared" ref="D5:D16" si="0">C5-B5</f>
        <v>0</v>
      </c>
      <c r="E5" s="268"/>
      <c r="F5" s="267"/>
    </row>
    <row r="6" spans="1:6" s="352" customFormat="1">
      <c r="A6" s="364" t="s">
        <v>807</v>
      </c>
      <c r="B6" s="266">
        <f>'Sources and Uses Budget'!$C5</f>
        <v>0</v>
      </c>
      <c r="C6" s="266">
        <f>'Sources and Uses Budget'!$C5</f>
        <v>0</v>
      </c>
      <c r="D6" s="270">
        <f t="shared" si="0"/>
        <v>0</v>
      </c>
      <c r="E6" s="268"/>
      <c r="F6" s="267"/>
    </row>
    <row r="7" spans="1:6" s="352" customFormat="1">
      <c r="A7" s="364" t="s">
        <v>1829</v>
      </c>
      <c r="B7" s="266">
        <f>'Sources and Uses Budget'!$C6</f>
        <v>0</v>
      </c>
      <c r="C7" s="266">
        <f>'Sources and Uses Budget'!$C6</f>
        <v>0</v>
      </c>
      <c r="D7" s="270">
        <f t="shared" si="0"/>
        <v>0</v>
      </c>
      <c r="E7" s="268"/>
      <c r="F7" s="267"/>
    </row>
    <row r="8" spans="1:6" s="352" customFormat="1">
      <c r="A8" s="364" t="s">
        <v>1830</v>
      </c>
      <c r="B8" s="266">
        <f>'Sources and Uses Budget'!$C7</f>
        <v>0</v>
      </c>
      <c r="C8" s="266">
        <f>'Sources and Uses Budget'!$C7</f>
        <v>0</v>
      </c>
      <c r="D8" s="270">
        <f t="shared" si="0"/>
        <v>0</v>
      </c>
      <c r="E8" s="268"/>
      <c r="F8" s="267"/>
    </row>
    <row r="9" spans="1:6" s="352" customFormat="1">
      <c r="A9" s="365" t="s">
        <v>1831</v>
      </c>
      <c r="B9" s="270">
        <f>SUM(B5:B8)</f>
        <v>1313644</v>
      </c>
      <c r="C9" s="270">
        <f>SUM(C5:C8)</f>
        <v>1313644</v>
      </c>
      <c r="D9" s="270">
        <f t="shared" si="0"/>
        <v>0</v>
      </c>
      <c r="E9" s="268"/>
      <c r="F9" s="267"/>
    </row>
    <row r="10" spans="1:6" s="352" customFormat="1">
      <c r="A10" s="364" t="s">
        <v>1832</v>
      </c>
      <c r="B10" s="266">
        <f>'Sources and Uses Budget'!$C9</f>
        <v>12121356</v>
      </c>
      <c r="C10" s="266">
        <f>'Sources and Uses Budget'!$C9</f>
        <v>12121356</v>
      </c>
      <c r="D10" s="270">
        <f t="shared" si="0"/>
        <v>0</v>
      </c>
      <c r="E10" s="268"/>
      <c r="F10" s="267"/>
    </row>
    <row r="11" spans="1:6" s="352" customFormat="1">
      <c r="A11" s="364" t="s">
        <v>1833</v>
      </c>
      <c r="B11" s="266">
        <f>'Sources and Uses Budget'!$C10</f>
        <v>0</v>
      </c>
      <c r="C11" s="266">
        <f>'Sources and Uses Budget'!$C10</f>
        <v>0</v>
      </c>
      <c r="D11" s="270">
        <f t="shared" si="0"/>
        <v>0</v>
      </c>
      <c r="E11" s="268"/>
      <c r="F11" s="267"/>
    </row>
    <row r="12" spans="1:6" s="352" customFormat="1">
      <c r="A12" s="365" t="s">
        <v>1834</v>
      </c>
      <c r="B12" s="270">
        <f>SUM(B10:B11)</f>
        <v>12121356</v>
      </c>
      <c r="C12" s="270">
        <f>SUM(C10:C11)</f>
        <v>12121356</v>
      </c>
      <c r="D12" s="270">
        <f t="shared" si="0"/>
        <v>0</v>
      </c>
      <c r="E12" s="268"/>
      <c r="F12" s="267"/>
    </row>
    <row r="13" spans="1:6" s="352" customFormat="1">
      <c r="A13" s="365" t="s">
        <v>1835</v>
      </c>
      <c r="B13" s="270">
        <f>SUM(B9+B12)</f>
        <v>13435000</v>
      </c>
      <c r="C13" s="270">
        <f>SUM(C9+C12)</f>
        <v>13435000</v>
      </c>
      <c r="D13" s="270">
        <f t="shared" si="0"/>
        <v>0</v>
      </c>
      <c r="E13" s="268"/>
      <c r="F13" s="267"/>
    </row>
    <row r="14" spans="1:6" s="352" customFormat="1">
      <c r="A14" s="366" t="s">
        <v>1836</v>
      </c>
      <c r="B14" s="266">
        <f>'Sources and Uses Budget'!$C13</f>
        <v>0</v>
      </c>
      <c r="C14" s="266">
        <f>'Sources and Uses Budget'!$C13</f>
        <v>0</v>
      </c>
      <c r="D14" s="270">
        <f t="shared" si="0"/>
        <v>0</v>
      </c>
      <c r="E14" s="268"/>
      <c r="F14" s="267"/>
    </row>
    <row r="15" spans="1:6" s="352" customFormat="1" ht="22.8" customHeight="1">
      <c r="A15" s="364" t="s">
        <v>1952</v>
      </c>
      <c r="B15" s="266">
        <f>'Sources and Uses Budget'!$C14</f>
        <v>0</v>
      </c>
      <c r="C15" s="266">
        <f>'Sources and Uses Budget'!$C14</f>
        <v>0</v>
      </c>
      <c r="D15" s="270">
        <f t="shared" si="0"/>
        <v>0</v>
      </c>
      <c r="E15" s="268"/>
      <c r="F15" s="267"/>
    </row>
    <row r="16" spans="1:6" s="352" customFormat="1">
      <c r="A16" s="364" t="s">
        <v>1838</v>
      </c>
      <c r="B16" s="266">
        <f>'Sources and Uses Budget'!$C15</f>
        <v>0</v>
      </c>
      <c r="C16" s="266">
        <f>'Sources and Uses Budget'!$C15</f>
        <v>0</v>
      </c>
      <c r="D16" s="270">
        <f t="shared" si="0"/>
        <v>0</v>
      </c>
      <c r="E16" s="268"/>
      <c r="F16" s="267"/>
    </row>
    <row r="17" spans="1:6" s="352" customFormat="1">
      <c r="A17" s="264" t="s">
        <v>1839</v>
      </c>
      <c r="B17" s="264"/>
      <c r="C17" s="264"/>
      <c r="D17" s="264"/>
      <c r="E17" s="282"/>
      <c r="F17" s="264"/>
    </row>
    <row r="18" spans="1:6" s="352" customFormat="1">
      <c r="A18" s="145" t="s">
        <v>1840</v>
      </c>
      <c r="B18" s="266">
        <f>'Sources and Uses Budget'!$C17</f>
        <v>0</v>
      </c>
      <c r="C18" s="266">
        <f>'Sources and Uses Budget'!$C17</f>
        <v>0</v>
      </c>
      <c r="D18" s="270">
        <f t="shared" ref="D18:D26" si="1">C18-B18</f>
        <v>0</v>
      </c>
      <c r="E18" s="268"/>
      <c r="F18" s="267"/>
    </row>
    <row r="19" spans="1:6" s="352" customFormat="1">
      <c r="A19" s="145" t="s">
        <v>1841</v>
      </c>
      <c r="B19" s="266">
        <f>'Sources and Uses Budget'!$C18</f>
        <v>7920000</v>
      </c>
      <c r="C19" s="266">
        <f>'Sources and Uses Budget'!$C18</f>
        <v>7920000</v>
      </c>
      <c r="D19" s="270">
        <f t="shared" si="1"/>
        <v>0</v>
      </c>
      <c r="E19" s="268"/>
      <c r="F19" s="267"/>
    </row>
    <row r="20" spans="1:6" s="352" customFormat="1">
      <c r="A20" s="145" t="s">
        <v>1842</v>
      </c>
      <c r="B20" s="266">
        <f>'Sources and Uses Budget'!$C19</f>
        <v>640886</v>
      </c>
      <c r="C20" s="266">
        <f>'Sources and Uses Budget'!$C19</f>
        <v>640886</v>
      </c>
      <c r="D20" s="270">
        <f t="shared" si="1"/>
        <v>0</v>
      </c>
      <c r="E20" s="268"/>
      <c r="F20" s="267"/>
    </row>
    <row r="21" spans="1:6" s="352" customFormat="1">
      <c r="A21" s="145" t="s">
        <v>1843</v>
      </c>
      <c r="B21" s="266">
        <f>'Sources and Uses Budget'!$C20</f>
        <v>120166</v>
      </c>
      <c r="C21" s="266">
        <f>'Sources and Uses Budget'!$C20</f>
        <v>120166</v>
      </c>
      <c r="D21" s="270">
        <f t="shared" si="1"/>
        <v>0</v>
      </c>
      <c r="E21" s="268"/>
      <c r="F21" s="267"/>
    </row>
    <row r="22" spans="1:6" s="352" customFormat="1">
      <c r="A22" s="145" t="s">
        <v>1844</v>
      </c>
      <c r="B22" s="266">
        <f>'Sources and Uses Budget'!$C21</f>
        <v>360499</v>
      </c>
      <c r="C22" s="266">
        <f>'Sources and Uses Budget'!$C21</f>
        <v>360499</v>
      </c>
      <c r="D22" s="270">
        <f t="shared" si="1"/>
        <v>0</v>
      </c>
      <c r="E22" s="268"/>
      <c r="F22" s="267"/>
    </row>
    <row r="23" spans="1:6" s="352" customFormat="1">
      <c r="A23" s="145" t="s">
        <v>99</v>
      </c>
      <c r="B23" s="266">
        <f>'Sources and Uses Budget'!$C22</f>
        <v>0</v>
      </c>
      <c r="C23" s="266">
        <f>'Sources and Uses Budget'!$C22</f>
        <v>0</v>
      </c>
      <c r="D23" s="270">
        <f t="shared" si="1"/>
        <v>0</v>
      </c>
      <c r="E23" s="268"/>
      <c r="F23" s="267"/>
    </row>
    <row r="24" spans="1:6" s="352" customFormat="1">
      <c r="A24" s="145" t="s">
        <v>1845</v>
      </c>
      <c r="B24" s="266">
        <f>'Sources and Uses Budget'!$C23</f>
        <v>91080</v>
      </c>
      <c r="C24" s="266">
        <f>'Sources and Uses Budget'!$C23</f>
        <v>91080</v>
      </c>
      <c r="D24" s="270">
        <f t="shared" si="1"/>
        <v>0</v>
      </c>
      <c r="E24" s="268"/>
      <c r="F24" s="267"/>
    </row>
    <row r="25" spans="1:6" s="352" customFormat="1">
      <c r="A25" s="508" t="s">
        <v>1846</v>
      </c>
      <c r="B25" s="266">
        <f>'Sources and Uses Budget'!$C24</f>
        <v>0</v>
      </c>
      <c r="C25" s="266">
        <f>'Sources and Uses Budget'!$C24</f>
        <v>0</v>
      </c>
      <c r="D25" s="270">
        <f t="shared" si="1"/>
        <v>0</v>
      </c>
      <c r="E25" s="268"/>
      <c r="F25" s="267"/>
    </row>
    <row r="26" spans="1:6" s="352" customFormat="1">
      <c r="A26" s="155" t="str">
        <f>'Sources and Uses Budget'!A25</f>
        <v>Other: (Specify)</v>
      </c>
      <c r="B26" s="266">
        <f>'Sources and Uses Budget'!$C25</f>
        <v>0</v>
      </c>
      <c r="C26" s="266">
        <f>'Sources and Uses Budget'!$C25</f>
        <v>0</v>
      </c>
      <c r="D26" s="270">
        <f t="shared" si="1"/>
        <v>0</v>
      </c>
      <c r="E26" s="268"/>
      <c r="F26" s="267"/>
    </row>
    <row r="27" spans="1:6" s="352" customFormat="1">
      <c r="A27" s="1013" t="s">
        <v>1848</v>
      </c>
      <c r="B27" s="270">
        <f>SUM(B18:B26)</f>
        <v>9132631</v>
      </c>
      <c r="C27" s="270">
        <f>SUM(C18:C26)</f>
        <v>9132631</v>
      </c>
      <c r="D27" s="270">
        <f>SUM(D18:D26)</f>
        <v>0</v>
      </c>
      <c r="E27" s="268"/>
      <c r="F27" s="267"/>
    </row>
    <row r="28" spans="1:6" s="352" customFormat="1">
      <c r="A28" s="271" t="s">
        <v>1849</v>
      </c>
      <c r="B28" s="266">
        <f>'Sources and Uses Budget'!$C$27</f>
        <v>300000</v>
      </c>
      <c r="C28" s="266">
        <f>'Sources and Uses Budget'!$C$27</f>
        <v>300000</v>
      </c>
      <c r="D28" s="270">
        <f>C28-B28</f>
        <v>0</v>
      </c>
      <c r="E28" s="268"/>
      <c r="F28" s="267"/>
    </row>
    <row r="29" spans="1:6" s="352" customFormat="1">
      <c r="A29" s="264" t="s">
        <v>1850</v>
      </c>
      <c r="B29" s="264"/>
      <c r="C29" s="264"/>
      <c r="D29" s="264"/>
      <c r="E29" s="282"/>
      <c r="F29" s="264"/>
    </row>
    <row r="30" spans="1:6" s="352" customFormat="1">
      <c r="A30" s="145" t="s">
        <v>1840</v>
      </c>
      <c r="B30" s="266">
        <f>'Sources and Uses Budget'!$C29</f>
        <v>0</v>
      </c>
      <c r="C30" s="266">
        <f>'Sources and Uses Budget'!$C29</f>
        <v>0</v>
      </c>
      <c r="D30" s="270">
        <f t="shared" ref="D30:D36" si="2">C30-B30</f>
        <v>0</v>
      </c>
      <c r="E30" s="268"/>
      <c r="F30" s="267"/>
    </row>
    <row r="31" spans="1:6" s="352" customFormat="1">
      <c r="A31" s="145" t="s">
        <v>1841</v>
      </c>
      <c r="B31" s="266">
        <f>'Sources and Uses Budget'!$C30</f>
        <v>0</v>
      </c>
      <c r="C31" s="266">
        <f>'Sources and Uses Budget'!$C30</f>
        <v>0</v>
      </c>
      <c r="D31" s="270">
        <f t="shared" si="2"/>
        <v>0</v>
      </c>
      <c r="E31" s="268"/>
      <c r="F31" s="267"/>
    </row>
    <row r="32" spans="1:6" s="352" customFormat="1">
      <c r="A32" s="145" t="s">
        <v>1842</v>
      </c>
      <c r="B32" s="266">
        <f>'Sources and Uses Budget'!$C31</f>
        <v>0</v>
      </c>
      <c r="C32" s="266">
        <f>'Sources and Uses Budget'!$C31</f>
        <v>0</v>
      </c>
      <c r="D32" s="270">
        <f t="shared" si="2"/>
        <v>0</v>
      </c>
      <c r="E32" s="268"/>
      <c r="F32" s="267"/>
    </row>
    <row r="33" spans="1:6" s="352" customFormat="1">
      <c r="A33" s="145" t="s">
        <v>1843</v>
      </c>
      <c r="B33" s="266">
        <f>'Sources and Uses Budget'!$C32</f>
        <v>0</v>
      </c>
      <c r="C33" s="266">
        <f>'Sources and Uses Budget'!$C32</f>
        <v>0</v>
      </c>
      <c r="D33" s="270">
        <f t="shared" si="2"/>
        <v>0</v>
      </c>
      <c r="E33" s="268"/>
      <c r="F33" s="267"/>
    </row>
    <row r="34" spans="1:6" s="352" customFormat="1">
      <c r="A34" s="145" t="s">
        <v>1844</v>
      </c>
      <c r="B34" s="266">
        <f>'Sources and Uses Budget'!$C33</f>
        <v>0</v>
      </c>
      <c r="C34" s="266">
        <f>'Sources and Uses Budget'!$C33</f>
        <v>0</v>
      </c>
      <c r="D34" s="270">
        <f t="shared" si="2"/>
        <v>0</v>
      </c>
      <c r="E34" s="268"/>
      <c r="F34" s="267"/>
    </row>
    <row r="35" spans="1:6" s="352" customFormat="1">
      <c r="A35" s="145" t="s">
        <v>99</v>
      </c>
      <c r="B35" s="266">
        <f>'Sources and Uses Budget'!$C34</f>
        <v>0</v>
      </c>
      <c r="C35" s="266">
        <f>'Sources and Uses Budget'!$C34</f>
        <v>0</v>
      </c>
      <c r="D35" s="270">
        <f t="shared" si="2"/>
        <v>0</v>
      </c>
      <c r="E35" s="268"/>
      <c r="F35" s="267"/>
    </row>
    <row r="36" spans="1:6" s="352" customFormat="1">
      <c r="A36" s="145" t="s">
        <v>1845</v>
      </c>
      <c r="B36" s="266">
        <f>'Sources and Uses Budget'!$C35</f>
        <v>0</v>
      </c>
      <c r="C36" s="266">
        <f>'Sources and Uses Budget'!$C35</f>
        <v>0</v>
      </c>
      <c r="D36" s="270">
        <f t="shared" si="2"/>
        <v>0</v>
      </c>
      <c r="E36" s="268"/>
      <c r="F36" s="267"/>
    </row>
    <row r="37" spans="1:6" s="352" customFormat="1">
      <c r="A37" s="283" t="s">
        <v>1846</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C38-B38</f>
        <v>0</v>
      </c>
      <c r="E38" s="268"/>
      <c r="F38" s="267"/>
    </row>
    <row r="39" spans="1:6" s="352" customFormat="1">
      <c r="A39" s="271" t="s">
        <v>1851</v>
      </c>
      <c r="B39" s="270">
        <f>SUM(B30:B38)</f>
        <v>0</v>
      </c>
      <c r="C39" s="270">
        <f>SUM(C30:C38)</f>
        <v>0</v>
      </c>
      <c r="D39" s="270">
        <f>C39-B39</f>
        <v>0</v>
      </c>
      <c r="E39" s="268"/>
      <c r="F39" s="267"/>
    </row>
    <row r="40" spans="1:6" s="352" customFormat="1">
      <c r="A40" s="264" t="s">
        <v>1852</v>
      </c>
      <c r="B40" s="264"/>
      <c r="C40" s="264"/>
      <c r="D40" s="264"/>
      <c r="E40" s="282"/>
      <c r="F40" s="264"/>
    </row>
    <row r="41" spans="1:6" s="352" customFormat="1">
      <c r="A41" s="269" t="s">
        <v>1853</v>
      </c>
      <c r="B41" s="266">
        <f>'Sources and Uses Budget'!$C40</f>
        <v>365305</v>
      </c>
      <c r="C41" s="266">
        <f>'Sources and Uses Budget'!$C40</f>
        <v>365305</v>
      </c>
      <c r="D41" s="270">
        <f>C41-B41</f>
        <v>0</v>
      </c>
      <c r="E41" s="268"/>
      <c r="F41" s="267"/>
    </row>
    <row r="42" spans="1:6" s="352" customFormat="1">
      <c r="A42" s="269" t="s">
        <v>1854</v>
      </c>
      <c r="B42" s="266">
        <f>'Sources and Uses Budget'!$C41</f>
        <v>45663</v>
      </c>
      <c r="C42" s="266">
        <f>'Sources and Uses Budget'!$C41</f>
        <v>45663</v>
      </c>
      <c r="D42" s="270">
        <f>C42-B42</f>
        <v>0</v>
      </c>
      <c r="E42" s="268"/>
      <c r="F42" s="267"/>
    </row>
    <row r="43" spans="1:6" s="352" customFormat="1">
      <c r="A43" s="271" t="s">
        <v>1855</v>
      </c>
      <c r="B43" s="270">
        <f>SUM(B41:B42)</f>
        <v>410968</v>
      </c>
      <c r="C43" s="270">
        <f>SUM(C41:C42)</f>
        <v>410968</v>
      </c>
      <c r="D43" s="270">
        <f>C43-B43</f>
        <v>0</v>
      </c>
      <c r="E43" s="268"/>
      <c r="F43" s="267"/>
    </row>
    <row r="44" spans="1:6" s="352" customFormat="1">
      <c r="A44" s="271" t="s">
        <v>1856</v>
      </c>
      <c r="B44" s="266">
        <f>'Sources and Uses Budget'!$C43</f>
        <v>40000</v>
      </c>
      <c r="C44" s="266">
        <f>'Sources and Uses Budget'!$C43</f>
        <v>40000</v>
      </c>
      <c r="D44" s="270">
        <f>C44-B44</f>
        <v>0</v>
      </c>
      <c r="E44" s="268"/>
      <c r="F44" s="267"/>
    </row>
    <row r="45" spans="1:6" s="352" customFormat="1" ht="12" customHeight="1">
      <c r="A45" s="264" t="s">
        <v>1857</v>
      </c>
      <c r="B45" s="264"/>
      <c r="C45" s="264"/>
      <c r="D45" s="264"/>
      <c r="E45" s="282"/>
      <c r="F45" s="264"/>
    </row>
    <row r="46" spans="1:6" s="352" customFormat="1">
      <c r="A46" s="145" t="s">
        <v>1858</v>
      </c>
      <c r="B46" s="266">
        <f>'Sources and Uses Budget'!$C45</f>
        <v>488354</v>
      </c>
      <c r="C46" s="266">
        <f>'Sources and Uses Budget'!$C45</f>
        <v>488354</v>
      </c>
      <c r="D46" s="270">
        <f t="shared" ref="D46:D55" si="3">C46-B46</f>
        <v>0</v>
      </c>
      <c r="E46" s="268"/>
      <c r="F46" s="267"/>
    </row>
    <row r="47" spans="1:6" s="352" customFormat="1">
      <c r="A47" s="145" t="s">
        <v>1859</v>
      </c>
      <c r="B47" s="266">
        <f>'Sources and Uses Budget'!$C46</f>
        <v>122876</v>
      </c>
      <c r="C47" s="266">
        <f>'Sources and Uses Budget'!$C46</f>
        <v>122876</v>
      </c>
      <c r="D47" s="270">
        <f t="shared" si="3"/>
        <v>0</v>
      </c>
      <c r="E47" s="268"/>
      <c r="F47" s="267"/>
    </row>
    <row r="48" spans="1:6" s="352" customFormat="1" ht="12" customHeight="1">
      <c r="A48" s="186" t="s">
        <v>1860</v>
      </c>
      <c r="B48" s="266">
        <f>'Sources and Uses Budget'!$C47</f>
        <v>0</v>
      </c>
      <c r="C48" s="266">
        <f>'Sources and Uses Budget'!$C47</f>
        <v>0</v>
      </c>
      <c r="D48" s="270">
        <f t="shared" si="3"/>
        <v>0</v>
      </c>
      <c r="E48" s="268"/>
      <c r="F48" s="267"/>
    </row>
    <row r="49" spans="1:6" s="352" customFormat="1">
      <c r="A49" s="145" t="s">
        <v>1861</v>
      </c>
      <c r="B49" s="266">
        <f>'Sources and Uses Budget'!$C48</f>
        <v>123291</v>
      </c>
      <c r="C49" s="266">
        <f>'Sources and Uses Budget'!$C48</f>
        <v>123291</v>
      </c>
      <c r="D49" s="270">
        <f t="shared" si="3"/>
        <v>0</v>
      </c>
      <c r="E49" s="268"/>
      <c r="F49" s="267"/>
    </row>
    <row r="50" spans="1:6" s="352" customFormat="1">
      <c r="A50" s="145" t="s">
        <v>1862</v>
      </c>
      <c r="B50" s="266">
        <f>'Sources and Uses Budget'!$C49</f>
        <v>0</v>
      </c>
      <c r="C50" s="266">
        <f>'Sources and Uses Budget'!$C49</f>
        <v>0</v>
      </c>
      <c r="D50" s="270">
        <f t="shared" si="3"/>
        <v>0</v>
      </c>
      <c r="E50" s="268"/>
      <c r="F50" s="267"/>
    </row>
    <row r="51" spans="1:6" s="352" customFormat="1">
      <c r="A51" s="145" t="s">
        <v>1863</v>
      </c>
      <c r="B51" s="266">
        <f>'Sources and Uses Budget'!$C50</f>
        <v>150000</v>
      </c>
      <c r="C51" s="266">
        <f>'Sources and Uses Budget'!$C50</f>
        <v>150000</v>
      </c>
      <c r="D51" s="270">
        <f t="shared" si="3"/>
        <v>0</v>
      </c>
      <c r="E51" s="268"/>
      <c r="F51" s="267"/>
    </row>
    <row r="52" spans="1:6" s="352" customFormat="1">
      <c r="A52" s="283" t="s">
        <v>1864</v>
      </c>
      <c r="B52" s="266">
        <f>'Sources and Uses Budget'!$C51</f>
        <v>17500</v>
      </c>
      <c r="C52" s="266">
        <f>'Sources and Uses Budget'!$C51</f>
        <v>17500</v>
      </c>
      <c r="D52" s="270">
        <f t="shared" si="3"/>
        <v>0</v>
      </c>
      <c r="E52" s="268"/>
      <c r="F52" s="267"/>
    </row>
    <row r="53" spans="1:6" s="352" customFormat="1">
      <c r="A53" s="145" t="s">
        <v>1633</v>
      </c>
      <c r="B53" s="266">
        <f>'Sources and Uses Budget'!$C52</f>
        <v>200000</v>
      </c>
      <c r="C53" s="266">
        <f>'Sources and Uses Budget'!$C52</f>
        <v>200000</v>
      </c>
      <c r="D53" s="270">
        <f t="shared" si="3"/>
        <v>0</v>
      </c>
      <c r="E53" s="268"/>
      <c r="F53" s="267"/>
    </row>
    <row r="54" spans="1:6" s="352" customFormat="1">
      <c r="A54" s="155" t="str">
        <f>'Sources and Uses Budget'!A53</f>
        <v>Other: Third-Party Reports</v>
      </c>
      <c r="B54" s="266">
        <f>'Sources and Uses Budget'!$C53</f>
        <v>200000</v>
      </c>
      <c r="C54" s="266">
        <f>'Sources and Uses Budget'!$C53</f>
        <v>200000</v>
      </c>
      <c r="D54" s="270">
        <f t="shared" si="3"/>
        <v>0</v>
      </c>
      <c r="E54" s="268"/>
      <c r="F54" s="267"/>
    </row>
    <row r="55" spans="1:6" s="353" customFormat="1">
      <c r="A55" s="271" t="s">
        <v>1866</v>
      </c>
      <c r="B55" s="273">
        <f>SUM(B46:B54)</f>
        <v>1302021</v>
      </c>
      <c r="C55" s="273">
        <f>SUM(C46:C54)</f>
        <v>1302021</v>
      </c>
      <c r="D55" s="270">
        <f t="shared" si="3"/>
        <v>0</v>
      </c>
      <c r="E55" s="268"/>
      <c r="F55" s="267"/>
    </row>
    <row r="56" spans="1:6" s="352" customFormat="1">
      <c r="A56" s="264" t="s">
        <v>1442</v>
      </c>
      <c r="B56" s="264"/>
      <c r="C56" s="264"/>
      <c r="D56" s="264"/>
      <c r="E56" s="282"/>
      <c r="F56" s="264"/>
    </row>
    <row r="57" spans="1:6" s="352" customFormat="1">
      <c r="A57" s="269" t="s">
        <v>1867</v>
      </c>
      <c r="B57" s="266">
        <f>'Sources and Uses Budget'!$C56</f>
        <v>133000</v>
      </c>
      <c r="C57" s="266">
        <f>'Sources and Uses Budget'!$C56</f>
        <v>133000</v>
      </c>
      <c r="D57" s="270">
        <f t="shared" ref="D57:D64" si="4">C57-B57</f>
        <v>0</v>
      </c>
      <c r="E57" s="268"/>
      <c r="F57" s="267"/>
    </row>
    <row r="58" spans="1:6" s="352" customFormat="1" ht="12" customHeight="1">
      <c r="A58" s="269" t="s">
        <v>1860</v>
      </c>
      <c r="B58" s="266">
        <f>'Sources and Uses Budget'!$C57</f>
        <v>250000</v>
      </c>
      <c r="C58" s="266">
        <f>'Sources and Uses Budget'!$C57</f>
        <v>250000</v>
      </c>
      <c r="D58" s="270">
        <f t="shared" si="4"/>
        <v>0</v>
      </c>
      <c r="E58" s="268"/>
      <c r="F58" s="267"/>
    </row>
    <row r="59" spans="1:6" s="352" customFormat="1">
      <c r="A59" s="269" t="s">
        <v>1863</v>
      </c>
      <c r="B59" s="266">
        <f>'Sources and Uses Budget'!$C58</f>
        <v>90000</v>
      </c>
      <c r="C59" s="266">
        <f>'Sources and Uses Budget'!$C58</f>
        <v>90000</v>
      </c>
      <c r="D59" s="270">
        <f t="shared" si="4"/>
        <v>0</v>
      </c>
      <c r="E59" s="268"/>
      <c r="F59" s="267"/>
    </row>
    <row r="60" spans="1:6" s="352" customFormat="1">
      <c r="A60" s="269" t="s">
        <v>1864</v>
      </c>
      <c r="B60" s="266">
        <f>'Sources and Uses Budget'!$C59</f>
        <v>0</v>
      </c>
      <c r="C60" s="266">
        <f>'Sources and Uses Budget'!$C59</f>
        <v>0</v>
      </c>
      <c r="D60" s="270">
        <f t="shared" si="4"/>
        <v>0</v>
      </c>
      <c r="E60" s="268"/>
      <c r="F60" s="267"/>
    </row>
    <row r="61" spans="1:6" s="352" customFormat="1">
      <c r="A61" s="269" t="s">
        <v>1633</v>
      </c>
      <c r="B61" s="266">
        <f>'Sources and Uses Budget'!$C60</f>
        <v>0</v>
      </c>
      <c r="C61" s="266">
        <f>'Sources and Uses Budget'!$C60</f>
        <v>0</v>
      </c>
      <c r="D61" s="270">
        <f t="shared" si="4"/>
        <v>0</v>
      </c>
      <c r="E61" s="268"/>
      <c r="F61" s="267"/>
    </row>
    <row r="62" spans="1:6" s="352" customFormat="1">
      <c r="A62" s="1014" t="str">
        <f>'Sources and Uses Budget'!A61</f>
        <v>Other: Legal</v>
      </c>
      <c r="B62" s="266">
        <f>'Sources and Uses Budget'!$C61</f>
        <v>0</v>
      </c>
      <c r="C62" s="266">
        <f>'Sources and Uses Budget'!$C61</f>
        <v>0</v>
      </c>
      <c r="D62" s="270">
        <f t="shared" si="4"/>
        <v>0</v>
      </c>
      <c r="E62" s="268"/>
      <c r="F62" s="267"/>
    </row>
    <row r="63" spans="1:6" s="352" customFormat="1" ht="13.65" customHeight="1">
      <c r="A63" s="271" t="s">
        <v>1869</v>
      </c>
      <c r="B63" s="270">
        <f>SUM(B57:B62)</f>
        <v>473000</v>
      </c>
      <c r="C63" s="270">
        <f>SUM(C57:C62)</f>
        <v>473000</v>
      </c>
      <c r="D63" s="270">
        <f t="shared" si="4"/>
        <v>0</v>
      </c>
      <c r="E63" s="268"/>
      <c r="F63" s="267"/>
    </row>
    <row r="64" spans="1:6" s="352" customFormat="1">
      <c r="A64" s="274" t="s">
        <v>1870</v>
      </c>
      <c r="B64" s="270">
        <f>SUM(B9+B12+B14+B15+B17+B26+B28+B39+B43+B44+B55+B63)</f>
        <v>15960989</v>
      </c>
      <c r="C64" s="270">
        <f>SUM(C9+C12+C14+C15+C17+C26+C28+C39+C43+C44+C55+C63)</f>
        <v>15960989</v>
      </c>
      <c r="D64" s="270">
        <f t="shared" si="4"/>
        <v>0</v>
      </c>
      <c r="E64" s="268"/>
      <c r="F64" s="267"/>
    </row>
    <row r="65" spans="1:6" s="352" customFormat="1" ht="22.8" customHeight="1">
      <c r="A65" s="141" t="s">
        <v>1871</v>
      </c>
      <c r="B65" s="264"/>
      <c r="C65" s="264"/>
      <c r="D65" s="264"/>
      <c r="E65" s="282"/>
      <c r="F65" s="264"/>
    </row>
    <row r="66" spans="1:6" s="352" customFormat="1">
      <c r="A66" s="145" t="s">
        <v>1872</v>
      </c>
      <c r="B66" s="266">
        <f>'Sources and Uses Budget'!$C65</f>
        <v>230000</v>
      </c>
      <c r="C66" s="266">
        <f>'Sources and Uses Budget'!$C65</f>
        <v>230000</v>
      </c>
      <c r="D66" s="270">
        <f>C66-B66</f>
        <v>0</v>
      </c>
      <c r="E66" s="268"/>
      <c r="F66" s="267"/>
    </row>
    <row r="67" spans="1:6" s="352" customFormat="1" ht="22.8" customHeight="1">
      <c r="A67" s="283" t="s">
        <v>1873</v>
      </c>
      <c r="B67" s="266">
        <f>'Sources and Uses Budget'!$C66</f>
        <v>0</v>
      </c>
      <c r="C67" s="266">
        <f>'Sources and Uses Budget'!$C66</f>
        <v>0</v>
      </c>
      <c r="D67" s="270"/>
      <c r="E67" s="268"/>
      <c r="F67" s="267"/>
    </row>
    <row r="68" spans="1:6" s="352" customFormat="1" ht="22.8" customHeight="1">
      <c r="A68" s="283" t="s">
        <v>1874</v>
      </c>
      <c r="B68" s="266">
        <f>'Sources and Uses Budget'!$C67</f>
        <v>0</v>
      </c>
      <c r="C68" s="266">
        <f>'Sources and Uses Budget'!$C67</f>
        <v>0</v>
      </c>
      <c r="D68" s="270"/>
      <c r="E68" s="268"/>
      <c r="F68" s="267"/>
    </row>
    <row r="69" spans="1:6" s="352" customFormat="1">
      <c r="A69" s="283" t="s">
        <v>1875</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C70-B70</f>
        <v>0</v>
      </c>
      <c r="E70" s="268"/>
      <c r="F70" s="267"/>
    </row>
    <row r="71" spans="1:6" s="352" customFormat="1">
      <c r="A71" s="149" t="s">
        <v>1876</v>
      </c>
      <c r="B71" s="270">
        <f>SUM(B66:B70)</f>
        <v>230000</v>
      </c>
      <c r="C71" s="270">
        <f>SUM(C66:C70)</f>
        <v>230000</v>
      </c>
      <c r="D71" s="270">
        <f>C71-B71</f>
        <v>0</v>
      </c>
      <c r="E71" s="268"/>
      <c r="F71" s="267"/>
    </row>
    <row r="72" spans="1:6" s="352" customFormat="1">
      <c r="A72" s="264" t="s">
        <v>1877</v>
      </c>
      <c r="B72" s="264"/>
      <c r="C72" s="264"/>
      <c r="D72" s="264"/>
      <c r="E72" s="282"/>
      <c r="F72" s="264"/>
    </row>
    <row r="73" spans="1:6" s="352" customFormat="1">
      <c r="A73" s="269" t="s">
        <v>1878</v>
      </c>
      <c r="B73" s="266">
        <f>'Sources and Uses Budget'!$C72</f>
        <v>0</v>
      </c>
      <c r="C73" s="266">
        <f>'Sources and Uses Budget'!$C72</f>
        <v>0</v>
      </c>
      <c r="D73" s="270">
        <f t="shared" ref="D73:D78" si="5">C73-B73</f>
        <v>0</v>
      </c>
      <c r="E73" s="268"/>
      <c r="F73" s="267"/>
    </row>
    <row r="74" spans="1:6" s="352" customFormat="1">
      <c r="A74" s="269" t="s">
        <v>1879</v>
      </c>
      <c r="B74" s="266">
        <f>'Sources and Uses Budget'!$C73</f>
        <v>0</v>
      </c>
      <c r="C74" s="266">
        <f>'Sources and Uses Budget'!$C73</f>
        <v>0</v>
      </c>
      <c r="D74" s="270">
        <f t="shared" si="5"/>
        <v>0</v>
      </c>
      <c r="E74" s="268"/>
      <c r="F74" s="267"/>
    </row>
    <row r="75" spans="1:6" s="352" customFormat="1">
      <c r="A75" s="287" t="s">
        <v>1880</v>
      </c>
      <c r="B75" s="266">
        <f>'Sources and Uses Budget'!$C74</f>
        <v>0</v>
      </c>
      <c r="C75" s="266">
        <f>'Sources and Uses Budget'!$C74</f>
        <v>0</v>
      </c>
      <c r="D75" s="270">
        <f t="shared" si="5"/>
        <v>0</v>
      </c>
      <c r="E75" s="268"/>
      <c r="F75" s="267"/>
    </row>
    <row r="76" spans="1:6" s="352" customFormat="1">
      <c r="A76" s="269" t="s">
        <v>1881</v>
      </c>
      <c r="B76" s="266">
        <f>'Sources and Uses Budget'!$C75</f>
        <v>600000</v>
      </c>
      <c r="C76" s="266">
        <f>'Sources and Uses Budget'!$C75</f>
        <v>600000</v>
      </c>
      <c r="D76" s="270">
        <f t="shared" si="5"/>
        <v>0</v>
      </c>
      <c r="E76" s="268"/>
      <c r="F76" s="267"/>
    </row>
    <row r="77" spans="1:6" s="352" customFormat="1">
      <c r="A77" s="272" t="s">
        <v>1847</v>
      </c>
      <c r="B77" s="266">
        <f>'Sources and Uses Budget'!$C76</f>
        <v>578000</v>
      </c>
      <c r="C77" s="266">
        <f>'Sources and Uses Budget'!$C76</f>
        <v>578000</v>
      </c>
      <c r="D77" s="270">
        <f t="shared" si="5"/>
        <v>0</v>
      </c>
      <c r="E77" s="268"/>
      <c r="F77" s="267"/>
    </row>
    <row r="78" spans="1:6" s="352" customFormat="1">
      <c r="A78" s="271" t="s">
        <v>1883</v>
      </c>
      <c r="B78" s="270">
        <f>SUM(B73:B77)</f>
        <v>1178000</v>
      </c>
      <c r="C78" s="270">
        <f>SUM(C73:C77)</f>
        <v>1178000</v>
      </c>
      <c r="D78" s="270">
        <f t="shared" si="5"/>
        <v>0</v>
      </c>
      <c r="E78" s="268"/>
      <c r="F78" s="267"/>
    </row>
    <row r="79" spans="1:6" s="352" customFormat="1">
      <c r="A79" s="264" t="s">
        <v>1884</v>
      </c>
      <c r="B79" s="264"/>
      <c r="C79" s="264"/>
      <c r="D79" s="264"/>
      <c r="E79" s="282"/>
      <c r="F79" s="264"/>
    </row>
    <row r="80" spans="1:6" s="352" customFormat="1">
      <c r="A80" s="510" t="s">
        <v>1885</v>
      </c>
      <c r="B80" s="266">
        <f>'Sources and Uses Budget'!$C79</f>
        <v>913263</v>
      </c>
      <c r="C80" s="266">
        <f>'Sources and Uses Budget'!$C79</f>
        <v>913263</v>
      </c>
      <c r="D80" s="270">
        <f>C80-B80</f>
        <v>0</v>
      </c>
      <c r="E80" s="268"/>
      <c r="F80" s="267"/>
    </row>
    <row r="81" spans="1:6" s="352" customFormat="1">
      <c r="A81" s="510" t="s">
        <v>1886</v>
      </c>
      <c r="B81" s="266">
        <f>'Sources and Uses Budget'!$C80</f>
        <v>52897</v>
      </c>
      <c r="C81" s="266">
        <f>'Sources and Uses Budget'!$C80</f>
        <v>52897</v>
      </c>
      <c r="D81" s="270">
        <f>C81-B81</f>
        <v>0</v>
      </c>
      <c r="E81" s="268"/>
      <c r="F81" s="267"/>
    </row>
    <row r="82" spans="1:6" s="352" customFormat="1">
      <c r="A82" s="271" t="s">
        <v>1887</v>
      </c>
      <c r="B82" s="270">
        <f>SUM(B80:B81)</f>
        <v>966160</v>
      </c>
      <c r="C82" s="270">
        <f>SUM(C80:C81)</f>
        <v>966160</v>
      </c>
      <c r="D82" s="270">
        <f>C82-B82</f>
        <v>0</v>
      </c>
      <c r="E82" s="268"/>
      <c r="F82" s="267"/>
    </row>
    <row r="83" spans="1:6" s="352" customFormat="1">
      <c r="A83" s="264" t="s">
        <v>1888</v>
      </c>
      <c r="B83" s="264"/>
      <c r="C83" s="264"/>
      <c r="D83" s="264"/>
      <c r="E83" s="282"/>
      <c r="F83" s="264"/>
    </row>
    <row r="84" spans="1:6" s="352" customFormat="1" ht="13.65" customHeight="1">
      <c r="A84" s="269" t="s">
        <v>2731</v>
      </c>
      <c r="B84" s="266">
        <f>'Sources and Uses Budget'!$C83</f>
        <v>63863</v>
      </c>
      <c r="C84" s="266">
        <f>'Sources and Uses Budget'!$C83</f>
        <v>63863</v>
      </c>
      <c r="D84" s="270">
        <f t="shared" ref="D84:D98" si="6">C84-B84</f>
        <v>0</v>
      </c>
      <c r="E84" s="268"/>
      <c r="F84" s="267"/>
    </row>
    <row r="85" spans="1:6" s="352" customFormat="1">
      <c r="A85" s="269" t="s">
        <v>1890</v>
      </c>
      <c r="B85" s="266">
        <f>'Sources and Uses Budget'!$C84</f>
        <v>0</v>
      </c>
      <c r="C85" s="266">
        <f>'Sources and Uses Budget'!$C84</f>
        <v>0</v>
      </c>
      <c r="D85" s="270">
        <f t="shared" si="6"/>
        <v>0</v>
      </c>
      <c r="E85" s="268"/>
      <c r="F85" s="267"/>
    </row>
    <row r="86" spans="1:6" s="352" customFormat="1">
      <c r="A86" s="269" t="s">
        <v>1891</v>
      </c>
      <c r="B86" s="266">
        <f>'Sources and Uses Budget'!$C85</f>
        <v>0</v>
      </c>
      <c r="C86" s="266">
        <f>'Sources and Uses Budget'!$C85</f>
        <v>0</v>
      </c>
      <c r="D86" s="270">
        <f t="shared" si="6"/>
        <v>0</v>
      </c>
      <c r="E86" s="268"/>
      <c r="F86" s="267"/>
    </row>
    <row r="87" spans="1:6" s="352" customFormat="1">
      <c r="A87" s="269" t="s">
        <v>1892</v>
      </c>
      <c r="B87" s="266">
        <f>'Sources and Uses Budget'!$C86</f>
        <v>100000</v>
      </c>
      <c r="C87" s="266">
        <f>'Sources and Uses Budget'!$C86</f>
        <v>100000</v>
      </c>
      <c r="D87" s="270">
        <f t="shared" si="6"/>
        <v>0</v>
      </c>
      <c r="E87" s="268"/>
      <c r="F87" s="267"/>
    </row>
    <row r="88" spans="1:6" s="352" customFormat="1">
      <c r="A88" s="269" t="s">
        <v>1893</v>
      </c>
      <c r="B88" s="266">
        <f>'Sources and Uses Budget'!$C87</f>
        <v>0</v>
      </c>
      <c r="C88" s="266">
        <f>'Sources and Uses Budget'!$C87</f>
        <v>0</v>
      </c>
      <c r="D88" s="270">
        <f t="shared" si="6"/>
        <v>0</v>
      </c>
      <c r="E88" s="268"/>
      <c r="F88" s="267"/>
    </row>
    <row r="89" spans="1:6" s="352" customFormat="1">
      <c r="A89" s="269" t="s">
        <v>1894</v>
      </c>
      <c r="B89" s="266">
        <f>'Sources and Uses Budget'!$C88</f>
        <v>0</v>
      </c>
      <c r="C89" s="266">
        <f>'Sources and Uses Budget'!$C88</f>
        <v>0</v>
      </c>
      <c r="D89" s="270">
        <f t="shared" si="6"/>
        <v>0</v>
      </c>
      <c r="E89" s="268"/>
      <c r="F89" s="267"/>
    </row>
    <row r="90" spans="1:6" s="352" customFormat="1">
      <c r="A90" s="269" t="s">
        <v>1895</v>
      </c>
      <c r="B90" s="266">
        <f>'Sources and Uses Budget'!$C89</f>
        <v>250000</v>
      </c>
      <c r="C90" s="266">
        <f>'Sources and Uses Budget'!$C89</f>
        <v>250000</v>
      </c>
      <c r="D90" s="270">
        <f t="shared" si="6"/>
        <v>0</v>
      </c>
      <c r="E90" s="268"/>
      <c r="F90" s="267"/>
    </row>
    <row r="91" spans="1:6" s="352" customFormat="1">
      <c r="A91" s="269" t="s">
        <v>1896</v>
      </c>
      <c r="B91" s="266">
        <f>'Sources and Uses Budget'!$C90</f>
        <v>20000</v>
      </c>
      <c r="C91" s="266">
        <f>'Sources and Uses Budget'!$C90</f>
        <v>20000</v>
      </c>
      <c r="D91" s="270">
        <f t="shared" si="6"/>
        <v>0</v>
      </c>
      <c r="E91" s="268"/>
      <c r="F91" s="267"/>
    </row>
    <row r="92" spans="1:6" s="352" customFormat="1">
      <c r="A92" s="269" t="s">
        <v>1897</v>
      </c>
      <c r="B92" s="266">
        <f>'Sources and Uses Budget'!$C91</f>
        <v>15000</v>
      </c>
      <c r="C92" s="266">
        <f>'Sources and Uses Budget'!$C91</f>
        <v>15000</v>
      </c>
      <c r="D92" s="270">
        <f t="shared" si="6"/>
        <v>0</v>
      </c>
      <c r="E92" s="268"/>
      <c r="F92" s="267"/>
    </row>
    <row r="93" spans="1:6" s="352" customFormat="1">
      <c r="A93" s="510" t="s">
        <v>1898</v>
      </c>
      <c r="B93" s="266">
        <f>'Sources and Uses Budget'!$C92</f>
        <v>0</v>
      </c>
      <c r="C93" s="266">
        <f>'Sources and Uses Budget'!$C92</f>
        <v>0</v>
      </c>
      <c r="D93" s="270">
        <f t="shared" si="6"/>
        <v>0</v>
      </c>
      <c r="E93" s="268"/>
      <c r="F93" s="267"/>
    </row>
    <row r="94" spans="1:6" s="352" customFormat="1">
      <c r="A94" s="272" t="s">
        <v>1847</v>
      </c>
      <c r="B94" s="266">
        <f>'Sources and Uses Budget'!$C93</f>
        <v>15000</v>
      </c>
      <c r="C94" s="266">
        <f>'Sources and Uses Budget'!$C93</f>
        <v>15000</v>
      </c>
      <c r="D94" s="270">
        <f t="shared" si="6"/>
        <v>0</v>
      </c>
      <c r="E94" s="268"/>
      <c r="F94" s="267"/>
    </row>
    <row r="95" spans="1:6" s="352" customFormat="1">
      <c r="A95" s="272" t="s">
        <v>1847</v>
      </c>
      <c r="B95" s="266">
        <f>'Sources and Uses Budget'!$C94</f>
        <v>0</v>
      </c>
      <c r="C95" s="266">
        <f>'Sources and Uses Budget'!$C94</f>
        <v>0</v>
      </c>
      <c r="D95" s="270">
        <f t="shared" si="6"/>
        <v>0</v>
      </c>
      <c r="E95" s="268"/>
      <c r="F95" s="267"/>
    </row>
    <row r="96" spans="1:6" s="352" customFormat="1">
      <c r="A96" s="272" t="s">
        <v>1847</v>
      </c>
      <c r="B96" s="266">
        <f>'Sources and Uses Budget'!$C95</f>
        <v>0</v>
      </c>
      <c r="C96" s="266">
        <f>'Sources and Uses Budget'!$C95</f>
        <v>0</v>
      </c>
      <c r="D96" s="270">
        <f t="shared" si="6"/>
        <v>0</v>
      </c>
      <c r="E96" s="268"/>
      <c r="F96" s="267"/>
    </row>
    <row r="97" spans="1:6" s="352" customFormat="1">
      <c r="A97" s="271" t="s">
        <v>1900</v>
      </c>
      <c r="B97" s="270">
        <f>SUM(B84:B96)</f>
        <v>463863</v>
      </c>
      <c r="C97" s="270">
        <f>SUM(C84:C96)</f>
        <v>463863</v>
      </c>
      <c r="D97" s="270">
        <f t="shared" si="6"/>
        <v>0</v>
      </c>
      <c r="E97" s="268"/>
      <c r="F97" s="267"/>
    </row>
    <row r="98" spans="1:6" s="352" customFormat="1">
      <c r="A98" s="271" t="s">
        <v>1901</v>
      </c>
      <c r="B98" s="270">
        <f>SUM(B64+B71+B78+B82+B97)</f>
        <v>18799012</v>
      </c>
      <c r="C98" s="270">
        <f>SUM(C64+C71+C78+C82+C97)</f>
        <v>18799012</v>
      </c>
      <c r="D98" s="270">
        <f t="shared" si="6"/>
        <v>0</v>
      </c>
      <c r="E98" s="268"/>
      <c r="F98" s="267"/>
    </row>
    <row r="99" spans="1:6" s="352" customFormat="1">
      <c r="A99" s="264" t="s">
        <v>1902</v>
      </c>
      <c r="B99" s="264"/>
      <c r="C99" s="264"/>
      <c r="D99" s="264"/>
      <c r="E99" s="282"/>
      <c r="F99" s="264"/>
    </row>
    <row r="100" spans="1:6" s="352" customFormat="1">
      <c r="A100" s="145" t="s">
        <v>1903</v>
      </c>
      <c r="B100" s="266">
        <f>'Sources and Uses Budget'!$C99</f>
        <v>3043539</v>
      </c>
      <c r="C100" s="266">
        <f>'Sources and Uses Budget'!$C99</f>
        <v>3043539</v>
      </c>
      <c r="D100" s="270">
        <f t="shared" ref="D100:D106" si="7">C100-B100</f>
        <v>0</v>
      </c>
      <c r="E100" s="268"/>
      <c r="F100" s="267"/>
    </row>
    <row r="101" spans="1:6" s="352" customFormat="1">
      <c r="A101" s="283" t="s">
        <v>1904</v>
      </c>
      <c r="B101" s="266">
        <f>'Sources and Uses Budget'!$C100</f>
        <v>0</v>
      </c>
      <c r="C101" s="266">
        <f>'Sources and Uses Budget'!$C100</f>
        <v>0</v>
      </c>
      <c r="D101" s="270">
        <f t="shared" si="7"/>
        <v>0</v>
      </c>
      <c r="E101" s="268"/>
      <c r="F101" s="267"/>
    </row>
    <row r="102" spans="1:6" s="352" customFormat="1">
      <c r="A102" s="145" t="s">
        <v>1905</v>
      </c>
      <c r="B102" s="266">
        <f>'Sources and Uses Budget'!$C101</f>
        <v>0</v>
      </c>
      <c r="C102" s="266">
        <f>'Sources and Uses Budget'!$C101</f>
        <v>0</v>
      </c>
      <c r="D102" s="270">
        <f t="shared" si="7"/>
        <v>0</v>
      </c>
      <c r="E102" s="268"/>
      <c r="F102" s="267"/>
    </row>
    <row r="103" spans="1:6" s="352" customFormat="1" ht="12" customHeight="1">
      <c r="A103" s="283" t="s">
        <v>1906</v>
      </c>
      <c r="B103" s="266">
        <f>'Sources and Uses Budget'!$C102</f>
        <v>0</v>
      </c>
      <c r="C103" s="266">
        <f>'Sources and Uses Budget'!$C102</f>
        <v>0</v>
      </c>
      <c r="D103" s="270">
        <f t="shared" si="7"/>
        <v>0</v>
      </c>
      <c r="E103" s="268"/>
      <c r="F103" s="267"/>
    </row>
    <row r="104" spans="1:6" s="352" customFormat="1">
      <c r="A104" s="1014" t="str">
        <f>'Sources and Uses Budget'!A103</f>
        <v>Other: (Specify)</v>
      </c>
      <c r="B104" s="266">
        <f>'Sources and Uses Budget'!$C103</f>
        <v>0</v>
      </c>
      <c r="C104" s="266">
        <f>'Sources and Uses Budget'!$C103</f>
        <v>0</v>
      </c>
      <c r="D104" s="270">
        <f t="shared" si="7"/>
        <v>0</v>
      </c>
      <c r="E104" s="268"/>
      <c r="F104" s="267"/>
    </row>
    <row r="105" spans="1:6" s="352" customFormat="1">
      <c r="A105" s="271" t="s">
        <v>1907</v>
      </c>
      <c r="B105" s="270">
        <f>SUM(B100:B104)</f>
        <v>3043539</v>
      </c>
      <c r="C105" s="270">
        <f>SUM(C100:C104)</f>
        <v>3043539</v>
      </c>
      <c r="D105" s="270">
        <f t="shared" si="7"/>
        <v>0</v>
      </c>
      <c r="E105" s="268"/>
      <c r="F105" s="267"/>
    </row>
    <row r="106" spans="1:6" s="352" customFormat="1">
      <c r="A106" s="271" t="s">
        <v>1908</v>
      </c>
      <c r="B106" s="273">
        <f>SUM(B98+B105)</f>
        <v>21842551</v>
      </c>
      <c r="C106" s="273">
        <f>SUM(C98+C105)</f>
        <v>21842551</v>
      </c>
      <c r="D106" s="270">
        <f t="shared" si="7"/>
        <v>0</v>
      </c>
      <c r="E106" s="268"/>
      <c r="F106" s="267"/>
    </row>
    <row r="107" spans="1:6" s="352" customFormat="1">
      <c r="A107" s="277" t="s">
        <v>2732</v>
      </c>
      <c r="B107" s="278"/>
      <c r="C107" s="279"/>
      <c r="D107" s="281"/>
      <c r="E107" s="265"/>
      <c r="F107" s="276"/>
    </row>
  </sheetData>
  <pageMargins left="0.7" right="0.7" top="0.75" bottom="0.75" header="0.3" footer="0.3"/>
  <pageSetup scale="47" orientation="portrait" r:id="rId1"/>
  <headerFooter>
    <oddFooter>&amp;C&amp;P&amp;R&amp;8 &amp;A&amp;D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95"/>
  <sheetViews>
    <sheetView showGridLines="0" topLeftCell="A59" workbookViewId="0">
      <selection activeCell="A10" sqref="A10:J15"/>
    </sheetView>
  </sheetViews>
  <sheetFormatPr defaultColWidth="0" defaultRowHeight="12.45" customHeight="1" zeroHeight="1"/>
  <cols>
    <col min="1" max="10" width="10.6640625" style="402" customWidth="1"/>
    <col min="11" max="11" width="8.88671875" style="402" hidden="1" customWidth="1"/>
    <col min="12" max="16384" width="8.88671875" style="402" hidden="1"/>
  </cols>
  <sheetData>
    <row r="1" spans="1:10" ht="15.6" customHeight="1">
      <c r="A1" s="1313" t="s">
        <v>405</v>
      </c>
      <c r="B1" s="1312"/>
      <c r="C1" s="1312"/>
      <c r="D1" s="1312"/>
      <c r="E1" s="1312"/>
      <c r="F1" s="1312"/>
      <c r="G1" s="1312"/>
      <c r="H1" s="1312"/>
      <c r="I1" s="1312"/>
      <c r="J1" s="1312"/>
    </row>
    <row r="2" spans="1:10" ht="15" customHeight="1">
      <c r="A2" s="1316" t="s">
        <v>406</v>
      </c>
      <c r="B2" s="1312"/>
      <c r="C2" s="1312"/>
      <c r="D2" s="1312"/>
      <c r="E2" s="1312"/>
      <c r="F2" s="1312"/>
      <c r="G2" s="1312"/>
      <c r="H2" s="1312"/>
      <c r="I2" s="1312"/>
      <c r="J2" s="1312"/>
    </row>
    <row r="3" spans="1:10" ht="13.2" customHeight="1"/>
    <row r="4" spans="1:10" ht="12.75" customHeight="1">
      <c r="A4" s="1314" t="s">
        <v>407</v>
      </c>
      <c r="B4" s="1312"/>
      <c r="C4" s="1312"/>
      <c r="D4" s="1312"/>
      <c r="E4" s="1312"/>
      <c r="F4" s="1312"/>
      <c r="G4" s="1312"/>
      <c r="H4" s="1312"/>
      <c r="I4" s="1312"/>
      <c r="J4" s="1312"/>
    </row>
    <row r="5" spans="1:10" ht="13.2" customHeight="1">
      <c r="A5" s="1312"/>
      <c r="B5" s="1312"/>
      <c r="C5" s="1312"/>
      <c r="D5" s="1312"/>
      <c r="E5" s="1312"/>
      <c r="F5" s="1312"/>
      <c r="G5" s="1312"/>
      <c r="H5" s="1312"/>
      <c r="I5" s="1312"/>
      <c r="J5" s="1312"/>
    </row>
    <row r="6" spans="1:10" ht="30" customHeight="1">
      <c r="A6" s="1312"/>
      <c r="B6" s="1312"/>
      <c r="C6" s="1312"/>
      <c r="D6" s="1312"/>
      <c r="E6" s="1312"/>
      <c r="F6" s="1312"/>
      <c r="G6" s="1312"/>
      <c r="H6" s="1312"/>
      <c r="I6" s="1312"/>
      <c r="J6" s="1312"/>
    </row>
    <row r="7" spans="1:10" ht="13.2" customHeight="1">
      <c r="A7" s="416"/>
      <c r="B7" s="416"/>
      <c r="C7" s="416"/>
      <c r="D7" s="416"/>
      <c r="E7" s="416"/>
      <c r="F7" s="416"/>
      <c r="G7" s="416"/>
      <c r="H7" s="416"/>
      <c r="I7" s="416"/>
      <c r="J7" s="416"/>
    </row>
    <row r="8" spans="1:10" ht="12.75" customHeight="1">
      <c r="A8" s="402" t="s">
        <v>408</v>
      </c>
      <c r="B8" s="416"/>
      <c r="C8" s="416"/>
      <c r="D8" s="416"/>
      <c r="E8" s="416"/>
      <c r="F8" s="416"/>
      <c r="G8" s="416"/>
      <c r="H8" s="416"/>
      <c r="I8" s="416"/>
      <c r="J8" s="416"/>
    </row>
    <row r="9" spans="1:10" ht="13.2" customHeight="1"/>
    <row r="10" spans="1:10" ht="12.75" customHeight="1">
      <c r="A10" s="1317" t="s">
        <v>409</v>
      </c>
      <c r="B10" s="1312"/>
      <c r="C10" s="1312"/>
      <c r="D10" s="1312"/>
      <c r="E10" s="1312"/>
      <c r="F10" s="1312"/>
      <c r="G10" s="1312"/>
      <c r="H10" s="1312"/>
      <c r="I10" s="1312"/>
      <c r="J10" s="1312"/>
    </row>
    <row r="11" spans="1:10" ht="13.2" customHeight="1">
      <c r="A11" s="1312"/>
      <c r="B11" s="1312"/>
      <c r="C11" s="1312"/>
      <c r="D11" s="1312"/>
      <c r="E11" s="1312"/>
      <c r="F11" s="1312"/>
      <c r="G11" s="1312"/>
      <c r="H11" s="1312"/>
      <c r="I11" s="1312"/>
      <c r="J11" s="1312"/>
    </row>
    <row r="12" spans="1:10" ht="13.2" customHeight="1">
      <c r="A12" s="1312"/>
      <c r="B12" s="1312"/>
      <c r="C12" s="1312"/>
      <c r="D12" s="1312"/>
      <c r="E12" s="1312"/>
      <c r="F12" s="1312"/>
      <c r="G12" s="1312"/>
      <c r="H12" s="1312"/>
      <c r="I12" s="1312"/>
      <c r="J12" s="1312"/>
    </row>
    <row r="13" spans="1:10" ht="13.2" customHeight="1">
      <c r="A13" s="1312"/>
      <c r="B13" s="1312"/>
      <c r="C13" s="1312"/>
      <c r="D13" s="1312"/>
      <c r="E13" s="1312"/>
      <c r="F13" s="1312"/>
      <c r="G13" s="1312"/>
      <c r="H13" s="1312"/>
      <c r="I13" s="1312"/>
      <c r="J13" s="1312"/>
    </row>
    <row r="14" spans="1:10" ht="13.2" customHeight="1">
      <c r="A14" s="1312"/>
      <c r="B14" s="1312"/>
      <c r="C14" s="1312"/>
      <c r="D14" s="1312"/>
      <c r="E14" s="1312"/>
      <c r="F14" s="1312"/>
      <c r="G14" s="1312"/>
      <c r="H14" s="1312"/>
      <c r="I14" s="1312"/>
      <c r="J14" s="1312"/>
    </row>
    <row r="15" spans="1:10" ht="13.2" customHeight="1">
      <c r="A15" s="1312"/>
      <c r="B15" s="1312"/>
      <c r="C15" s="1312"/>
      <c r="D15" s="1312"/>
      <c r="E15" s="1312"/>
      <c r="F15" s="1312"/>
      <c r="G15" s="1312"/>
      <c r="H15" s="1312"/>
      <c r="I15" s="1312"/>
      <c r="J15" s="1312"/>
    </row>
    <row r="16" spans="1:10" ht="13.2" customHeight="1">
      <c r="A16" s="524"/>
      <c r="B16" s="524"/>
      <c r="C16" s="524"/>
      <c r="D16" s="524"/>
      <c r="E16" s="524"/>
      <c r="F16" s="524"/>
      <c r="G16" s="524"/>
      <c r="H16" s="524"/>
      <c r="I16" s="524"/>
      <c r="J16" s="524"/>
    </row>
    <row r="17" spans="1:10" ht="13.2" customHeight="1">
      <c r="A17" s="476" t="s">
        <v>410</v>
      </c>
      <c r="B17" s="416"/>
      <c r="C17" s="416"/>
      <c r="D17" s="416"/>
      <c r="E17" s="416"/>
      <c r="F17" s="416"/>
      <c r="G17" s="416"/>
      <c r="H17" s="416"/>
      <c r="I17" s="416"/>
      <c r="J17" s="416"/>
    </row>
    <row r="18" spans="1:10" ht="13.2" customHeight="1">
      <c r="A18" s="416" t="s">
        <v>366</v>
      </c>
      <c r="B18" s="416"/>
      <c r="C18" s="416"/>
      <c r="D18" s="416"/>
      <c r="E18" s="416"/>
      <c r="F18" s="416"/>
      <c r="G18" s="416"/>
      <c r="H18" s="416"/>
      <c r="I18" s="416"/>
      <c r="J18" s="416"/>
    </row>
    <row r="19" spans="1:10" ht="13.2" customHeight="1">
      <c r="A19" s="1312" t="s">
        <v>411</v>
      </c>
      <c r="B19" s="1312"/>
      <c r="C19" s="1312"/>
      <c r="D19" s="1312"/>
      <c r="E19" s="1312"/>
    </row>
    <row r="20" spans="1:10" ht="13.2" customHeight="1"/>
    <row r="21" spans="1:10" ht="13.2" customHeight="1"/>
    <row r="22" spans="1:10" ht="13.2" customHeight="1"/>
    <row r="23" spans="1:10" ht="13.2" customHeight="1"/>
    <row r="24" spans="1:10" ht="13.2" customHeight="1"/>
    <row r="25" spans="1:10" ht="13.2" customHeight="1"/>
    <row r="26" spans="1:10" ht="13.2" customHeight="1"/>
    <row r="27" spans="1:10" ht="13.2" customHeight="1"/>
    <row r="28" spans="1:10" ht="13.2" customHeight="1"/>
    <row r="29" spans="1:10" ht="13.2" customHeight="1"/>
    <row r="30" spans="1:10" ht="13.2" customHeight="1"/>
    <row r="31" spans="1:10" ht="13.2" customHeight="1"/>
    <row r="32" spans="1:10" ht="13.2" customHeight="1"/>
    <row r="33" ht="13.2" customHeight="1"/>
    <row r="34" ht="13.2" customHeight="1"/>
    <row r="35" ht="13.2" customHeight="1"/>
    <row r="36" ht="13.2" customHeight="1"/>
    <row r="37" ht="13.2" customHeight="1"/>
    <row r="38" ht="13.2" customHeight="1"/>
    <row r="39" ht="13.2" customHeight="1"/>
    <row r="40" ht="13.2" customHeight="1"/>
    <row r="41" ht="13.2" customHeight="1"/>
    <row r="42" ht="13.2" customHeight="1"/>
    <row r="43" ht="13.2" customHeight="1"/>
    <row r="44" ht="13.2" customHeight="1"/>
    <row r="45" ht="13.2" customHeight="1"/>
    <row r="46" ht="13.2" customHeight="1"/>
    <row r="47" ht="13.2" customHeight="1"/>
    <row r="48" ht="13.2" customHeight="1"/>
    <row r="49" ht="13.2" customHeight="1"/>
    <row r="50" ht="13.2" customHeight="1"/>
    <row r="51" ht="13.2" customHeight="1"/>
    <row r="52" ht="13.2" customHeight="1"/>
    <row r="53" ht="13.2" customHeight="1"/>
    <row r="54" ht="13.2" customHeight="1"/>
    <row r="55" ht="13.2" customHeight="1"/>
    <row r="56" ht="13.2" customHeight="1"/>
    <row r="57" ht="13.2" customHeight="1"/>
    <row r="58" ht="13.2" customHeight="1"/>
    <row r="59" ht="13.2" customHeight="1"/>
    <row r="60" ht="13.2" customHeight="1"/>
    <row r="61" ht="13.2" customHeight="1"/>
    <row r="62" ht="13.2" customHeight="1"/>
    <row r="63" ht="13.2" customHeight="1"/>
    <row r="64" ht="13.2" customHeight="1"/>
    <row r="65" spans="1:10" ht="13.2" customHeight="1"/>
    <row r="66" spans="1:10" ht="13.2" customHeight="1"/>
    <row r="67" spans="1:10" ht="13.2" customHeight="1"/>
    <row r="68" spans="1:10" ht="13.2" customHeight="1"/>
    <row r="69" spans="1:10" ht="13.2" customHeight="1"/>
    <row r="70" spans="1:10" ht="13.2" customHeight="1"/>
    <row r="71" spans="1:10" ht="13.2" customHeight="1"/>
    <row r="72" spans="1:10" ht="13.2" customHeight="1"/>
    <row r="73" spans="1:10" ht="13.2" customHeight="1"/>
    <row r="74" spans="1:10" ht="13.2" customHeight="1"/>
    <row r="75" spans="1:10" ht="13.2" customHeight="1"/>
    <row r="76" spans="1:10" ht="13.2" customHeight="1">
      <c r="A76" s="1314" t="s">
        <v>412</v>
      </c>
      <c r="B76" s="1312"/>
      <c r="C76" s="1312"/>
      <c r="D76" s="1312"/>
      <c r="E76" s="1312"/>
      <c r="F76" s="1312"/>
      <c r="G76" s="1312"/>
      <c r="H76" s="1312"/>
      <c r="I76" s="1312"/>
      <c r="J76" s="1312"/>
    </row>
    <row r="77" spans="1:10" ht="13.2" customHeight="1">
      <c r="A77" s="1312"/>
      <c r="B77" s="1312"/>
      <c r="C77" s="1312"/>
      <c r="D77" s="1312"/>
      <c r="E77" s="1312"/>
      <c r="F77" s="1312"/>
      <c r="G77" s="1312"/>
      <c r="H77" s="1312"/>
      <c r="I77" s="1312"/>
      <c r="J77" s="1312"/>
    </row>
    <row r="78" spans="1:10" ht="13.2" customHeight="1">
      <c r="A78" s="1312"/>
      <c r="B78" s="1312"/>
      <c r="C78" s="1312"/>
      <c r="D78" s="1312"/>
      <c r="E78" s="1312"/>
      <c r="F78" s="1312"/>
      <c r="G78" s="1312"/>
      <c r="H78" s="1312"/>
      <c r="I78" s="1312"/>
      <c r="J78" s="1312"/>
    </row>
    <row r="79" spans="1:10" ht="13.2" customHeight="1"/>
    <row r="80" spans="1:10" ht="13.2" customHeight="1">
      <c r="A80" s="402" t="s">
        <v>411</v>
      </c>
    </row>
    <row r="81" spans="1:9" ht="13.2" customHeight="1"/>
    <row r="82" spans="1:9" ht="13.2" customHeight="1"/>
    <row r="83" spans="1:9" ht="13.2" customHeight="1"/>
    <row r="84" spans="1:9" ht="13.2" customHeight="1"/>
    <row r="85" spans="1:9" ht="13.2" customHeight="1"/>
    <row r="86" spans="1:9" ht="13.2" customHeight="1"/>
    <row r="87" spans="1:9" ht="13.2" customHeight="1"/>
    <row r="88" spans="1:9" ht="13.2" customHeight="1"/>
    <row r="89" spans="1:9" ht="13.2" customHeight="1">
      <c r="A89" s="1315" t="s">
        <v>413</v>
      </c>
      <c r="B89" s="1312"/>
      <c r="C89" s="1312"/>
      <c r="D89" s="1312"/>
      <c r="E89" s="1312"/>
      <c r="F89" s="1312"/>
      <c r="G89" s="1312"/>
      <c r="H89" s="1312"/>
      <c r="I89" s="1312"/>
    </row>
    <row r="90" spans="1:9" ht="13.2" customHeight="1">
      <c r="A90" s="1307" t="s">
        <v>414</v>
      </c>
      <c r="B90" s="1312"/>
      <c r="C90" s="1312"/>
      <c r="D90" s="1312"/>
      <c r="E90" s="1312"/>
    </row>
    <row r="91" spans="1:9" ht="13.2" customHeight="1">
      <c r="A91" s="1307" t="s">
        <v>415</v>
      </c>
      <c r="B91" s="1312"/>
      <c r="C91" s="1312"/>
      <c r="D91" s="1312"/>
      <c r="E91" s="1312"/>
    </row>
    <row r="92" spans="1:9" ht="13.2" customHeight="1">
      <c r="A92" s="1307" t="s">
        <v>416</v>
      </c>
      <c r="B92" s="1312"/>
      <c r="C92" s="1312"/>
      <c r="D92" s="1312"/>
      <c r="E92" s="1312"/>
    </row>
    <row r="93" spans="1:9" ht="13.2" customHeight="1"/>
    <row r="94" spans="1:9" ht="13.2" hidden="1" customHeight="1"/>
    <row r="95" spans="1:9" ht="13.2" hidden="1" customHeight="1"/>
  </sheetData>
  <sheetProtection algorithmName="SHA-512" hashValue="rZR2Mx2zChJ31klIYsyFAU/i0RHHzaOuuWhPgFf5DrJp1BGlLWXaESBZFK7fQKYeRHAPy2TJ12TXmn1LXY7qNw==" saltValue="dc/54uFzaD1Y16Z007rWWg==" spinCount="100000" sheet="1" objects="1" scenarios="1"/>
  <mergeCells count="10">
    <mergeCell ref="A92:E92"/>
    <mergeCell ref="A91:E91"/>
    <mergeCell ref="A1:J1"/>
    <mergeCell ref="A4:J6"/>
    <mergeCell ref="A89:I89"/>
    <mergeCell ref="A90:E90"/>
    <mergeCell ref="A19:E19"/>
    <mergeCell ref="A76:J78"/>
    <mergeCell ref="A2:J2"/>
    <mergeCell ref="A10:J15"/>
  </mergeCells>
  <hyperlinks>
    <hyperlink ref="A90" r:id="rId1" display="http://www.treasurer.ca.gov/ctcac/assignments.asp" xr:uid="{00000000-0004-0000-0100-000000000000}"/>
    <hyperlink ref="A91" r:id="rId2" display="http://www.treasurer.ca.gov/ctcac/contacts.asp" xr:uid="{00000000-0004-0000-0100-000001000000}"/>
    <hyperlink ref="A92" r:id="rId3" xr:uid="{00000000-0004-0000-0100-000002000000}"/>
  </hyperlinks>
  <pageMargins left="0.7" right="0.7"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M1553"/>
  <sheetViews>
    <sheetView showGridLines="0" topLeftCell="A893" workbookViewId="0">
      <selection activeCell="D782" sqref="D782:F784"/>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3" width="8.88671875" style="402" hidden="1" customWidth="1"/>
    <col min="14" max="16384" width="0" style="402" hidden="1"/>
  </cols>
  <sheetData>
    <row r="1" spans="1:13"/>
    <row r="2" spans="1:13">
      <c r="A2" s="1332" t="s">
        <v>417</v>
      </c>
      <c r="B2" s="1328"/>
      <c r="C2" s="1328"/>
      <c r="D2" s="1312"/>
      <c r="E2" s="1312"/>
      <c r="F2" s="1312"/>
      <c r="G2" s="1312"/>
      <c r="H2" s="1312"/>
      <c r="I2" s="1333"/>
    </row>
    <row r="3" spans="1:13">
      <c r="A3" s="1336" t="s">
        <v>418</v>
      </c>
      <c r="B3" s="1328"/>
      <c r="C3" s="1328"/>
      <c r="D3" s="1312"/>
      <c r="E3" s="1312"/>
      <c r="F3" s="1312"/>
      <c r="G3" s="1312"/>
      <c r="H3" s="1312"/>
      <c r="I3" s="1333"/>
    </row>
    <row r="4" spans="1:13">
      <c r="A4" s="1336"/>
      <c r="B4" s="1328"/>
      <c r="C4" s="1328"/>
      <c r="D4" s="1312"/>
      <c r="E4" s="1312"/>
      <c r="F4" s="1312"/>
      <c r="G4" s="1312"/>
    </row>
    <row r="5" spans="1:13">
      <c r="A5" s="1336"/>
      <c r="B5" s="1328"/>
      <c r="C5" s="1328"/>
      <c r="D5" s="1312"/>
      <c r="E5" s="1312"/>
      <c r="F5" s="1312"/>
      <c r="G5" s="1312"/>
    </row>
    <row r="6" spans="1:13" ht="12.75" customHeight="1">
      <c r="A6" s="1329" t="s">
        <v>419</v>
      </c>
      <c r="B6" s="1328"/>
      <c r="C6" s="1328"/>
      <c r="D6" s="1312"/>
      <c r="E6" s="1312"/>
      <c r="F6" s="1312"/>
      <c r="G6" s="1312"/>
      <c r="I6" s="490"/>
    </row>
    <row r="7" spans="1:13">
      <c r="A7" s="1328"/>
      <c r="B7" s="1328"/>
      <c r="C7" s="1328"/>
      <c r="D7" s="1312"/>
      <c r="E7" s="1312"/>
      <c r="F7" s="1312"/>
      <c r="G7" s="1312"/>
      <c r="I7" s="490"/>
    </row>
    <row r="8" spans="1:13">
      <c r="A8" s="481"/>
      <c r="B8" s="481"/>
      <c r="C8" s="482"/>
      <c r="D8" s="482"/>
      <c r="E8" s="482"/>
      <c r="F8" s="482"/>
    </row>
    <row r="9" spans="1:13">
      <c r="A9" s="1331" t="s">
        <v>420</v>
      </c>
      <c r="B9" s="1263"/>
      <c r="C9" s="1263"/>
      <c r="D9" s="1263"/>
      <c r="E9" s="1263"/>
      <c r="F9" s="1263"/>
      <c r="G9" s="1263"/>
      <c r="H9" s="1023"/>
      <c r="I9" s="1024"/>
    </row>
    <row r="10" spans="1:13">
      <c r="A10" s="482"/>
      <c r="B10" s="482"/>
      <c r="E10" s="404"/>
    </row>
    <row r="11" spans="1:13" ht="13.65" customHeight="1">
      <c r="C11" s="482"/>
      <c r="D11" s="1335" t="s">
        <v>421</v>
      </c>
      <c r="E11" s="1312"/>
      <c r="F11" s="1312"/>
    </row>
    <row r="12" spans="1:13">
      <c r="C12" s="482"/>
      <c r="D12" s="1312"/>
      <c r="E12" s="1312"/>
      <c r="F12" s="1312"/>
    </row>
    <row r="13" spans="1:13">
      <c r="A13" s="483"/>
      <c r="B13" s="483"/>
      <c r="C13" s="483"/>
      <c r="D13" s="1319" t="s">
        <v>422</v>
      </c>
      <c r="E13" s="1312"/>
      <c r="F13" s="1312"/>
      <c r="M13" s="96"/>
    </row>
    <row r="14" spans="1:13">
      <c r="A14" s="483"/>
      <c r="B14" s="483"/>
      <c r="C14" s="483"/>
      <c r="D14" s="476"/>
      <c r="L14" s="312"/>
    </row>
    <row r="15" spans="1:13" ht="14.4" customHeight="1">
      <c r="A15" s="484"/>
      <c r="B15" s="485" t="s">
        <v>2790</v>
      </c>
      <c r="C15" s="483"/>
      <c r="D15" s="1320" t="s">
        <v>423</v>
      </c>
      <c r="E15" s="1312"/>
      <c r="F15" s="1312"/>
      <c r="I15" s="490"/>
    </row>
    <row r="16" spans="1:13">
      <c r="A16" s="483"/>
      <c r="B16" s="483"/>
      <c r="C16" s="483"/>
      <c r="D16" s="1312"/>
      <c r="E16" s="1312"/>
      <c r="F16" s="1312"/>
      <c r="I16" s="490"/>
    </row>
    <row r="17" spans="1:9">
      <c r="A17" s="483"/>
      <c r="B17" s="483"/>
      <c r="C17" s="483"/>
      <c r="D17" s="1312"/>
      <c r="E17" s="1312"/>
      <c r="F17" s="1312"/>
      <c r="I17" s="490"/>
    </row>
    <row r="18" spans="1:9">
      <c r="A18" s="483"/>
      <c r="B18" s="483"/>
      <c r="C18" s="483"/>
      <c r="D18" s="445"/>
      <c r="E18" s="312" t="s">
        <v>424</v>
      </c>
      <c r="F18" s="445"/>
      <c r="I18" s="490"/>
    </row>
    <row r="19" spans="1:9">
      <c r="A19" s="483"/>
      <c r="B19" s="483"/>
      <c r="C19" s="483"/>
      <c r="I19" s="490"/>
    </row>
    <row r="20" spans="1:9" ht="14.4" customHeight="1">
      <c r="A20" s="484"/>
      <c r="B20" s="485" t="s">
        <v>2790</v>
      </c>
      <c r="D20" s="1320" t="s">
        <v>425</v>
      </c>
      <c r="E20" s="1312"/>
      <c r="F20" s="1312"/>
      <c r="I20" s="490"/>
    </row>
    <row r="21" spans="1:9" ht="14.4" customHeight="1">
      <c r="A21" s="484"/>
      <c r="D21" s="1312"/>
      <c r="E21" s="1312"/>
      <c r="F21" s="1312"/>
      <c r="I21" s="490"/>
    </row>
    <row r="22" spans="1:9" ht="14.4" customHeight="1">
      <c r="A22" s="484"/>
      <c r="D22" s="392"/>
      <c r="E22" s="96" t="s">
        <v>426</v>
      </c>
      <c r="F22" s="392"/>
      <c r="I22" s="490"/>
    </row>
    <row r="23" spans="1:9" ht="14.4" customHeight="1">
      <c r="A23" s="484"/>
      <c r="B23" s="484"/>
      <c r="D23" s="446"/>
      <c r="I23" s="490"/>
    </row>
    <row r="24" spans="1:9" ht="14.4" customHeight="1">
      <c r="A24" s="484"/>
      <c r="B24" s="485" t="s">
        <v>427</v>
      </c>
      <c r="D24" s="1320" t="s">
        <v>428</v>
      </c>
      <c r="E24" s="1312"/>
      <c r="F24" s="1312"/>
      <c r="I24" s="490"/>
    </row>
    <row r="25" spans="1:9" ht="14.4" customHeight="1">
      <c r="A25" s="484"/>
      <c r="B25" s="484"/>
      <c r="D25" s="1312"/>
      <c r="E25" s="1312"/>
      <c r="F25" s="1312"/>
      <c r="I25" s="490"/>
    </row>
    <row r="26" spans="1:9">
      <c r="I26" s="490"/>
    </row>
    <row r="27" spans="1:9" ht="14.4" customHeight="1">
      <c r="A27" s="484"/>
      <c r="B27" s="485" t="s">
        <v>2790</v>
      </c>
      <c r="D27" s="1320" t="s">
        <v>429</v>
      </c>
      <c r="E27" s="1312"/>
      <c r="F27" s="1312"/>
      <c r="I27" s="490"/>
    </row>
    <row r="28" spans="1:9">
      <c r="D28" s="1312"/>
      <c r="E28" s="1312"/>
      <c r="F28" s="1312"/>
      <c r="I28" s="490"/>
    </row>
    <row r="29" spans="1:9">
      <c r="D29" s="1312"/>
      <c r="E29" s="1312"/>
      <c r="F29" s="1312"/>
      <c r="I29" s="490"/>
    </row>
    <row r="30" spans="1:9">
      <c r="D30" s="1312"/>
      <c r="E30" s="1312"/>
      <c r="F30" s="1312"/>
      <c r="I30" s="490"/>
    </row>
    <row r="31" spans="1:9">
      <c r="D31" s="1312"/>
      <c r="E31" s="1312"/>
      <c r="F31" s="1312"/>
      <c r="I31" s="490"/>
    </row>
    <row r="32" spans="1:9">
      <c r="D32" s="447"/>
      <c r="I32" s="490"/>
    </row>
    <row r="33" spans="1:9">
      <c r="B33" s="485" t="s">
        <v>427</v>
      </c>
      <c r="D33" s="1320" t="s">
        <v>430</v>
      </c>
      <c r="E33" s="1312"/>
      <c r="F33" s="1312"/>
      <c r="I33" s="490"/>
    </row>
    <row r="34" spans="1:9">
      <c r="D34" s="1312"/>
      <c r="E34" s="1312"/>
      <c r="F34" s="1312"/>
      <c r="I34" s="490"/>
    </row>
    <row r="35" spans="1:9" ht="14.4" customHeight="1">
      <c r="A35" s="484"/>
      <c r="B35" s="484"/>
      <c r="D35" s="447"/>
      <c r="I35" s="490"/>
    </row>
    <row r="36" spans="1:9" ht="14.4" customHeight="1">
      <c r="A36" s="484"/>
      <c r="B36" s="485" t="s">
        <v>2790</v>
      </c>
      <c r="D36" s="1320" t="s">
        <v>431</v>
      </c>
      <c r="E36" s="1312"/>
      <c r="F36" s="1312"/>
      <c r="I36" s="490"/>
    </row>
    <row r="37" spans="1:9" ht="14.4" customHeight="1">
      <c r="A37" s="484"/>
      <c r="B37" s="484"/>
      <c r="D37" s="1312"/>
      <c r="E37" s="1312"/>
      <c r="F37" s="1312"/>
      <c r="I37" s="490"/>
    </row>
    <row r="38" spans="1:9" ht="14.4" customHeight="1">
      <c r="A38" s="484"/>
      <c r="B38" s="484"/>
      <c r="D38" s="1312"/>
      <c r="E38" s="1312"/>
      <c r="F38" s="1312"/>
      <c r="I38" s="490"/>
    </row>
    <row r="39" spans="1:9" ht="14.4" customHeight="1">
      <c r="A39" s="484"/>
      <c r="B39" s="484"/>
      <c r="D39" s="1312"/>
      <c r="E39" s="1312"/>
      <c r="F39" s="1312"/>
      <c r="I39" s="490"/>
    </row>
    <row r="40" spans="1:9" ht="14.4" customHeight="1">
      <c r="A40" s="484"/>
      <c r="B40" s="484"/>
      <c r="I40" s="490"/>
    </row>
    <row r="41" spans="1:9" ht="14.4" customHeight="1">
      <c r="A41" s="484"/>
      <c r="B41" s="485" t="s">
        <v>427</v>
      </c>
      <c r="D41" s="1320" t="s">
        <v>432</v>
      </c>
      <c r="E41" s="1312"/>
      <c r="F41" s="1312"/>
      <c r="I41" s="490"/>
    </row>
    <row r="42" spans="1:9" ht="14.4" customHeight="1">
      <c r="A42" s="484"/>
      <c r="B42" s="484"/>
      <c r="D42" s="1312"/>
      <c r="E42" s="1312"/>
      <c r="F42" s="1312"/>
      <c r="I42" s="490"/>
    </row>
    <row r="43" spans="1:9" ht="14.4" customHeight="1">
      <c r="A43" s="484"/>
      <c r="B43" s="484"/>
      <c r="D43" s="1312"/>
      <c r="E43" s="1312"/>
      <c r="F43" s="1312"/>
      <c r="I43" s="490"/>
    </row>
    <row r="44" spans="1:9" ht="14.4" customHeight="1">
      <c r="A44" s="484"/>
      <c r="B44" s="484"/>
      <c r="D44" s="1312"/>
      <c r="E44" s="1312"/>
      <c r="F44" s="1312"/>
      <c r="I44" s="490"/>
    </row>
    <row r="45" spans="1:9" ht="14.4" customHeight="1">
      <c r="A45" s="484"/>
      <c r="B45" s="484"/>
      <c r="D45" s="1312"/>
      <c r="E45" s="1312"/>
      <c r="F45" s="1312"/>
      <c r="I45" s="490"/>
    </row>
    <row r="46" spans="1:9" ht="14.4" customHeight="1">
      <c r="A46" s="484"/>
      <c r="B46" s="484"/>
      <c r="D46" s="445"/>
      <c r="E46" s="445"/>
      <c r="F46" s="445"/>
      <c r="I46" s="490"/>
    </row>
    <row r="47" spans="1:9" ht="14.4" customHeight="1">
      <c r="A47" s="484"/>
      <c r="B47" s="485" t="s">
        <v>427</v>
      </c>
      <c r="D47" s="1320" t="s">
        <v>433</v>
      </c>
      <c r="E47" s="1312"/>
      <c r="F47" s="1312"/>
      <c r="I47" s="490"/>
    </row>
    <row r="48" spans="1:9" ht="14.4" customHeight="1">
      <c r="A48" s="484"/>
      <c r="B48" s="484"/>
      <c r="D48" s="1312"/>
      <c r="E48" s="1312"/>
      <c r="F48" s="1312"/>
      <c r="I48" s="490"/>
    </row>
    <row r="49" spans="1:9" ht="14.4" customHeight="1">
      <c r="A49" s="484"/>
      <c r="B49" s="484"/>
      <c r="D49" s="1312"/>
      <c r="E49" s="1312"/>
      <c r="F49" s="1312"/>
      <c r="I49" s="490"/>
    </row>
    <row r="50" spans="1:9" ht="23.25" customHeight="1">
      <c r="A50" s="484"/>
      <c r="B50" s="484"/>
      <c r="D50" s="1312"/>
      <c r="E50" s="1312"/>
      <c r="F50" s="1312"/>
      <c r="I50" s="490"/>
    </row>
    <row r="51" spans="1:9" ht="14.4" customHeight="1">
      <c r="A51" s="484"/>
      <c r="B51" s="484"/>
      <c r="D51" s="446"/>
      <c r="I51" s="490"/>
    </row>
    <row r="52" spans="1:9" ht="14.4" customHeight="1">
      <c r="A52" s="484"/>
      <c r="B52" s="485" t="s">
        <v>2790</v>
      </c>
      <c r="D52" s="1320" t="s">
        <v>434</v>
      </c>
      <c r="E52" s="1312"/>
      <c r="F52" s="1312"/>
      <c r="I52" s="490"/>
    </row>
    <row r="53" spans="1:9" ht="14.4" customHeight="1">
      <c r="A53" s="484"/>
      <c r="B53" s="484"/>
      <c r="D53" s="1312"/>
      <c r="E53" s="1312"/>
      <c r="F53" s="1312"/>
      <c r="I53" s="490"/>
    </row>
    <row r="54" spans="1:9" ht="14.4" customHeight="1">
      <c r="A54" s="484"/>
      <c r="B54" s="484"/>
      <c r="D54" s="1312"/>
      <c r="E54" s="1312"/>
      <c r="F54" s="1312"/>
      <c r="I54" s="490"/>
    </row>
    <row r="55" spans="1:9" ht="14.4" customHeight="1">
      <c r="A55" s="484"/>
      <c r="B55" s="484"/>
      <c r="I55" s="490"/>
    </row>
    <row r="56" spans="1:9" ht="14.4" customHeight="1">
      <c r="A56" s="484"/>
      <c r="B56" s="485" t="s">
        <v>2790</v>
      </c>
      <c r="D56" s="1369" t="s">
        <v>435</v>
      </c>
      <c r="E56" s="1312"/>
      <c r="F56" s="1312"/>
      <c r="I56" s="490"/>
    </row>
    <row r="57" spans="1:9" ht="14.4" customHeight="1">
      <c r="A57" s="484"/>
      <c r="B57" s="484"/>
      <c r="D57" s="1312"/>
      <c r="E57" s="1312"/>
      <c r="F57" s="1312"/>
      <c r="I57" s="490"/>
    </row>
    <row r="58" spans="1:9" ht="14.4" customHeight="1">
      <c r="A58" s="484"/>
      <c r="B58" s="484"/>
      <c r="D58" s="392" t="s">
        <v>436</v>
      </c>
      <c r="E58" s="445"/>
      <c r="F58" s="445"/>
      <c r="I58" s="490"/>
    </row>
    <row r="59" spans="1:9" ht="14.4" customHeight="1">
      <c r="A59" s="484"/>
      <c r="B59" s="484"/>
      <c r="D59" s="445"/>
      <c r="E59" s="312" t="s">
        <v>424</v>
      </c>
      <c r="F59" s="445"/>
      <c r="I59" s="490"/>
    </row>
    <row r="60" spans="1:9">
      <c r="D60" s="447"/>
      <c r="I60" s="490"/>
    </row>
    <row r="61" spans="1:9" ht="14.4" customHeight="1">
      <c r="A61" s="484"/>
      <c r="B61" s="485" t="s">
        <v>427</v>
      </c>
      <c r="D61" s="1320" t="s">
        <v>437</v>
      </c>
      <c r="E61" s="1312"/>
      <c r="F61" s="1312"/>
      <c r="I61" s="490"/>
    </row>
    <row r="62" spans="1:9">
      <c r="D62" s="1312"/>
      <c r="E62" s="1312"/>
      <c r="F62" s="1312"/>
      <c r="I62" s="490"/>
    </row>
    <row r="63" spans="1:9">
      <c r="D63" s="1312"/>
      <c r="E63" s="1312"/>
      <c r="F63" s="1312"/>
      <c r="I63" s="490"/>
    </row>
    <row r="64" spans="1:9">
      <c r="I64" s="490"/>
    </row>
    <row r="65" spans="1:9" ht="14.4" customHeight="1">
      <c r="A65" s="484"/>
      <c r="B65" s="485" t="s">
        <v>427</v>
      </c>
      <c r="D65" s="1320" t="s">
        <v>438</v>
      </c>
      <c r="E65" s="1312"/>
      <c r="F65" s="1312"/>
      <c r="I65" s="490"/>
    </row>
    <row r="66" spans="1:9">
      <c r="D66" s="1312"/>
      <c r="E66" s="1312"/>
      <c r="F66" s="1312"/>
      <c r="I66" s="490"/>
    </row>
    <row r="67" spans="1:9">
      <c r="I67" s="490"/>
    </row>
    <row r="68" spans="1:9" ht="14.4" customHeight="1">
      <c r="A68" s="484"/>
      <c r="B68" s="485" t="s">
        <v>2790</v>
      </c>
      <c r="D68" s="1320" t="s">
        <v>439</v>
      </c>
      <c r="E68" s="1312"/>
      <c r="F68" s="1312"/>
      <c r="I68" s="490"/>
    </row>
    <row r="69" spans="1:9">
      <c r="D69" s="1312"/>
      <c r="E69" s="1312"/>
      <c r="F69" s="1312"/>
      <c r="I69" s="490"/>
    </row>
    <row r="70" spans="1:9">
      <c r="D70" s="1312"/>
      <c r="E70" s="1312"/>
      <c r="F70" s="1312"/>
      <c r="I70" s="490"/>
    </row>
    <row r="71" spans="1:9">
      <c r="I71" s="490"/>
    </row>
    <row r="72" spans="1:9" ht="14.4" customHeight="1">
      <c r="A72" s="484"/>
      <c r="B72" s="485" t="s">
        <v>427</v>
      </c>
      <c r="D72" s="1320" t="s">
        <v>440</v>
      </c>
      <c r="E72" s="1312"/>
      <c r="F72" s="1312"/>
      <c r="I72" s="490"/>
    </row>
    <row r="73" spans="1:9">
      <c r="D73" s="1312"/>
      <c r="E73" s="1312"/>
      <c r="F73" s="1312"/>
      <c r="I73" s="490"/>
    </row>
    <row r="74" spans="1:9" ht="14.4" customHeight="1">
      <c r="A74" s="484"/>
      <c r="B74" s="484"/>
      <c r="D74" s="446"/>
      <c r="I74" s="490"/>
    </row>
    <row r="75" spans="1:9">
      <c r="A75" s="1331" t="s">
        <v>441</v>
      </c>
      <c r="B75" s="1263"/>
      <c r="C75" s="1263"/>
      <c r="D75" s="1263"/>
      <c r="E75" s="1263"/>
      <c r="F75" s="1263"/>
      <c r="G75" s="1263"/>
      <c r="H75" s="1023"/>
      <c r="I75" s="1145"/>
    </row>
    <row r="76" spans="1:9">
      <c r="I76" s="490"/>
    </row>
    <row r="77" spans="1:9">
      <c r="C77" s="486"/>
      <c r="D77" s="1341" t="s">
        <v>442</v>
      </c>
      <c r="E77" s="1312"/>
      <c r="F77" s="1312"/>
      <c r="I77" s="490"/>
    </row>
    <row r="78" spans="1:9">
      <c r="A78" s="446"/>
      <c r="B78" s="446"/>
      <c r="D78" s="1320" t="s">
        <v>443</v>
      </c>
      <c r="E78" s="1312"/>
      <c r="F78" s="1312"/>
      <c r="I78" s="490"/>
    </row>
    <row r="79" spans="1:9">
      <c r="A79" s="446"/>
      <c r="B79" s="446"/>
      <c r="I79" s="490"/>
    </row>
    <row r="80" spans="1:9" ht="13.65" customHeight="1">
      <c r="A80" s="484"/>
      <c r="B80" s="485" t="s">
        <v>2790</v>
      </c>
      <c r="D80" s="1320" t="s">
        <v>445</v>
      </c>
      <c r="E80" s="1312"/>
      <c r="F80" s="1312"/>
      <c r="I80" s="490"/>
    </row>
    <row r="81" spans="1:9" ht="14.4" customHeight="1">
      <c r="A81" s="484"/>
      <c r="B81" s="484"/>
      <c r="D81" s="1312"/>
      <c r="E81" s="1312"/>
      <c r="F81" s="1312"/>
      <c r="I81" s="490"/>
    </row>
    <row r="82" spans="1:9" ht="14.4" customHeight="1">
      <c r="A82" s="484"/>
      <c r="B82" s="484"/>
      <c r="D82" s="1312"/>
      <c r="E82" s="1312"/>
      <c r="F82" s="1312"/>
      <c r="I82" s="490"/>
    </row>
    <row r="83" spans="1:9" ht="14.4" customHeight="1">
      <c r="A83" s="484"/>
      <c r="B83" s="484"/>
      <c r="D83" s="1312"/>
      <c r="E83" s="1312"/>
      <c r="F83" s="1312"/>
      <c r="I83" s="490"/>
    </row>
    <row r="84" spans="1:9" ht="14.4" customHeight="1">
      <c r="A84" s="484"/>
      <c r="B84" s="484"/>
      <c r="D84" s="1312"/>
      <c r="E84" s="1312"/>
      <c r="F84" s="1312"/>
      <c r="I84" s="490"/>
    </row>
    <row r="85" spans="1:9" ht="14.4" customHeight="1">
      <c r="A85" s="484"/>
      <c r="B85" s="484"/>
      <c r="D85" s="1312"/>
      <c r="E85" s="1312"/>
      <c r="F85" s="1312"/>
      <c r="I85" s="490"/>
    </row>
    <row r="86" spans="1:9" ht="14.4" customHeight="1">
      <c r="A86" s="484"/>
      <c r="B86" s="484"/>
      <c r="D86" s="1312"/>
      <c r="E86" s="1312"/>
      <c r="F86" s="1312"/>
      <c r="I86" s="490"/>
    </row>
    <row r="87" spans="1:9" ht="14.4" customHeight="1">
      <c r="A87" s="484"/>
      <c r="B87" s="484"/>
      <c r="D87" s="1312"/>
      <c r="E87" s="1312"/>
      <c r="F87" s="1312"/>
      <c r="I87" s="490"/>
    </row>
    <row r="88" spans="1:9" ht="14.4" customHeight="1">
      <c r="A88" s="484"/>
      <c r="B88" s="484"/>
      <c r="D88" s="385"/>
      <c r="E88" s="385"/>
      <c r="F88" s="385"/>
      <c r="I88" s="490"/>
    </row>
    <row r="89" spans="1:9" ht="15" customHeight="1">
      <c r="A89" s="484"/>
      <c r="B89" s="485" t="s">
        <v>2790</v>
      </c>
      <c r="D89" s="1320" t="s">
        <v>446</v>
      </c>
      <c r="E89" s="1312"/>
      <c r="F89" s="1312"/>
      <c r="I89" s="490"/>
    </row>
    <row r="90" spans="1:9" ht="14.4" customHeight="1">
      <c r="A90" s="484"/>
      <c r="B90" s="484"/>
      <c r="D90" s="1312"/>
      <c r="E90" s="1312"/>
      <c r="F90" s="1312"/>
      <c r="I90" s="490"/>
    </row>
    <row r="91" spans="1:9" ht="14.4" customHeight="1">
      <c r="A91" s="484"/>
      <c r="B91" s="484"/>
      <c r="D91" s="445"/>
      <c r="E91" s="445"/>
      <c r="F91" s="445"/>
      <c r="I91" s="490"/>
    </row>
    <row r="92" spans="1:9" ht="14.4" customHeight="1">
      <c r="A92" s="484"/>
      <c r="B92" s="485" t="s">
        <v>2790</v>
      </c>
      <c r="D92" s="1320" t="s">
        <v>447</v>
      </c>
      <c r="E92" s="1312"/>
      <c r="F92" s="1312"/>
      <c r="I92" s="490"/>
    </row>
    <row r="93" spans="1:9" ht="14.4" customHeight="1">
      <c r="A93" s="484"/>
      <c r="B93" s="484"/>
      <c r="D93" s="1312"/>
      <c r="E93" s="1312"/>
      <c r="F93" s="1312"/>
      <c r="I93" s="490"/>
    </row>
    <row r="94" spans="1:9" ht="14.4" customHeight="1">
      <c r="A94" s="484"/>
      <c r="B94" s="484"/>
      <c r="D94" s="1312"/>
      <c r="E94" s="1312"/>
      <c r="F94" s="1312"/>
      <c r="I94" s="490"/>
    </row>
    <row r="95" spans="1:9" ht="14.4" customHeight="1">
      <c r="A95" s="484"/>
      <c r="B95" s="484"/>
      <c r="D95" s="445"/>
      <c r="E95" s="445"/>
      <c r="F95" s="445"/>
      <c r="I95" s="490"/>
    </row>
    <row r="96" spans="1:9" ht="14.4" customHeight="1">
      <c r="A96" s="484"/>
      <c r="B96" s="485" t="s">
        <v>2790</v>
      </c>
      <c r="D96" s="1320" t="s">
        <v>448</v>
      </c>
      <c r="E96" s="1312"/>
      <c r="F96" s="1312"/>
      <c r="I96" s="490"/>
    </row>
    <row r="97" spans="1:9" s="982" customFormat="1" ht="14.4" customHeight="1">
      <c r="A97" s="980"/>
      <c r="B97" s="980"/>
      <c r="C97" s="981"/>
      <c r="D97" s="1366"/>
      <c r="E97" s="1366"/>
      <c r="F97" s="1366"/>
      <c r="I97" s="1146"/>
    </row>
    <row r="98" spans="1:9" ht="14.4" customHeight="1">
      <c r="A98" s="484"/>
      <c r="B98" s="484"/>
      <c r="D98" s="392"/>
      <c r="E98" s="312" t="s">
        <v>449</v>
      </c>
      <c r="F98" s="445"/>
      <c r="I98" s="490"/>
    </row>
    <row r="99" spans="1:9" ht="14.4" customHeight="1">
      <c r="A99" s="484"/>
      <c r="B99" s="484"/>
      <c r="D99" s="385"/>
      <c r="E99" s="385"/>
      <c r="F99" s="385"/>
      <c r="I99" s="490"/>
    </row>
    <row r="100" spans="1:9" ht="14.4" customHeight="1">
      <c r="A100" s="484"/>
      <c r="B100" s="485" t="s">
        <v>427</v>
      </c>
      <c r="D100" s="1320" t="s">
        <v>450</v>
      </c>
      <c r="E100" s="1312"/>
      <c r="F100" s="1312"/>
      <c r="I100" s="490"/>
    </row>
    <row r="101" spans="1:9" ht="14.4" customHeight="1">
      <c r="A101" s="484"/>
      <c r="B101" s="484"/>
      <c r="D101" s="1312"/>
      <c r="E101" s="1312"/>
      <c r="F101" s="1312"/>
      <c r="I101" s="490"/>
    </row>
    <row r="102" spans="1:9" ht="14.4" customHeight="1">
      <c r="A102" s="484"/>
      <c r="B102" s="484"/>
      <c r="D102" s="445"/>
      <c r="E102" s="445"/>
      <c r="F102" s="445"/>
      <c r="I102" s="490"/>
    </row>
    <row r="103" spans="1:9" ht="14.4" customHeight="1">
      <c r="A103" s="484"/>
      <c r="B103" s="485" t="s">
        <v>427</v>
      </c>
      <c r="D103" s="1320" t="s">
        <v>451</v>
      </c>
      <c r="E103" s="1312"/>
      <c r="F103" s="1312"/>
      <c r="I103" s="490"/>
    </row>
    <row r="104" spans="1:9" ht="14.4" customHeight="1">
      <c r="A104" s="484"/>
      <c r="B104" s="484"/>
      <c r="D104" s="1312"/>
      <c r="E104" s="1312"/>
      <c r="F104" s="1312"/>
      <c r="I104" s="490"/>
    </row>
    <row r="105" spans="1:9" ht="14.4" customHeight="1">
      <c r="A105" s="484"/>
      <c r="B105" s="484"/>
      <c r="D105" s="1312"/>
      <c r="E105" s="1312"/>
      <c r="F105" s="1312"/>
      <c r="I105" s="490"/>
    </row>
    <row r="106" spans="1:9" ht="14.4" customHeight="1">
      <c r="A106" s="484"/>
      <c r="B106" s="484"/>
      <c r="D106" s="1312"/>
      <c r="E106" s="1312"/>
      <c r="F106" s="1312"/>
      <c r="I106" s="490"/>
    </row>
    <row r="107" spans="1:9" ht="14.4" customHeight="1">
      <c r="A107" s="484"/>
      <c r="B107" s="484"/>
      <c r="D107" s="1312"/>
      <c r="E107" s="1312"/>
      <c r="F107" s="1312"/>
      <c r="I107" s="490"/>
    </row>
    <row r="108" spans="1:9" ht="14.4" customHeight="1">
      <c r="A108" s="484"/>
      <c r="B108" s="484"/>
      <c r="D108" s="1312"/>
      <c r="E108" s="1312"/>
      <c r="F108" s="1312"/>
      <c r="I108" s="490"/>
    </row>
    <row r="109" spans="1:9" ht="14.4" customHeight="1">
      <c r="A109" s="484"/>
      <c r="B109" s="484"/>
      <c r="D109" s="1312"/>
      <c r="E109" s="1312"/>
      <c r="F109" s="1312"/>
      <c r="I109" s="490"/>
    </row>
    <row r="110" spans="1:9" ht="14.4" customHeight="1">
      <c r="A110" s="484"/>
      <c r="B110" s="484"/>
      <c r="D110" s="1312"/>
      <c r="E110" s="1312"/>
      <c r="F110" s="1312"/>
      <c r="I110" s="490"/>
    </row>
    <row r="111" spans="1:9" ht="14.4" customHeight="1">
      <c r="A111" s="484"/>
      <c r="B111" s="484"/>
      <c r="D111" s="1312"/>
      <c r="E111" s="1312"/>
      <c r="F111" s="1312"/>
      <c r="I111" s="490"/>
    </row>
    <row r="112" spans="1:9" ht="14.4" customHeight="1">
      <c r="A112" s="484"/>
      <c r="B112" s="484"/>
      <c r="D112" s="1312"/>
      <c r="E112" s="1312"/>
      <c r="F112" s="1312"/>
      <c r="I112" s="490"/>
    </row>
    <row r="113" spans="1:9" ht="14.4" customHeight="1">
      <c r="A113" s="484"/>
      <c r="B113" s="484"/>
      <c r="D113" s="1312"/>
      <c r="E113" s="1312"/>
      <c r="F113" s="1312"/>
      <c r="I113" s="490"/>
    </row>
    <row r="114" spans="1:9" ht="14.4" customHeight="1">
      <c r="A114" s="484"/>
      <c r="B114" s="484"/>
      <c r="D114" s="1312"/>
      <c r="E114" s="1312"/>
      <c r="F114" s="1312"/>
      <c r="I114" s="490"/>
    </row>
    <row r="115" spans="1:9" ht="14.4" customHeight="1">
      <c r="A115" s="484"/>
      <c r="B115" s="484"/>
      <c r="D115" s="1312"/>
      <c r="E115" s="1312"/>
      <c r="F115" s="1312"/>
      <c r="I115" s="490"/>
    </row>
    <row r="116" spans="1:9" ht="14.4" customHeight="1">
      <c r="A116" s="484"/>
      <c r="B116" s="484"/>
      <c r="D116" s="1312"/>
      <c r="E116" s="1312"/>
      <c r="F116" s="1312"/>
      <c r="I116" s="490"/>
    </row>
    <row r="117" spans="1:9" ht="14.4" customHeight="1">
      <c r="A117" s="484"/>
      <c r="B117" s="484"/>
      <c r="D117" s="1312"/>
      <c r="E117" s="1312"/>
      <c r="F117" s="1312"/>
      <c r="I117" s="490"/>
    </row>
    <row r="118" spans="1:9" ht="14.4" customHeight="1">
      <c r="A118" s="484"/>
      <c r="B118" s="484"/>
      <c r="D118" s="524"/>
      <c r="E118" s="524"/>
      <c r="F118" s="524"/>
      <c r="I118" s="490"/>
    </row>
    <row r="119" spans="1:9" ht="14.25" customHeight="1">
      <c r="A119" s="484"/>
      <c r="B119" s="485" t="s">
        <v>427</v>
      </c>
      <c r="D119" s="1363" t="s">
        <v>452</v>
      </c>
      <c r="E119" s="1312"/>
      <c r="F119" s="1312"/>
      <c r="I119" s="490"/>
    </row>
    <row r="120" spans="1:9" ht="14.4" customHeight="1">
      <c r="A120" s="484"/>
      <c r="B120" s="484"/>
      <c r="D120" s="1312"/>
      <c r="E120" s="1312"/>
      <c r="F120" s="1312"/>
      <c r="I120" s="490"/>
    </row>
    <row r="121" spans="1:9" ht="14.4" customHeight="1">
      <c r="A121" s="484"/>
      <c r="B121" s="484"/>
      <c r="D121" s="1312"/>
      <c r="E121" s="1312"/>
      <c r="F121" s="1312"/>
      <c r="I121" s="490"/>
    </row>
    <row r="122" spans="1:9" ht="14.4" customHeight="1">
      <c r="A122" s="484"/>
      <c r="B122" s="484"/>
      <c r="D122" s="1312"/>
      <c r="E122" s="1312"/>
      <c r="F122" s="1312"/>
      <c r="I122" s="490"/>
    </row>
    <row r="123" spans="1:9" ht="14.4" customHeight="1">
      <c r="A123" s="484"/>
      <c r="B123" s="484"/>
      <c r="D123" s="1312"/>
      <c r="E123" s="1312"/>
      <c r="F123" s="1312"/>
      <c r="I123" s="490"/>
    </row>
    <row r="124" spans="1:9" ht="14.4" customHeight="1">
      <c r="A124" s="484"/>
      <c r="B124" s="484"/>
      <c r="D124" s="1312"/>
      <c r="E124" s="1312"/>
      <c r="F124" s="1312"/>
      <c r="I124" s="490"/>
    </row>
    <row r="125" spans="1:9" ht="14.4" customHeight="1">
      <c r="A125" s="484"/>
      <c r="B125" s="484"/>
      <c r="D125" s="1312"/>
      <c r="E125" s="1312"/>
      <c r="F125" s="1312"/>
      <c r="I125" s="490"/>
    </row>
    <row r="126" spans="1:9" ht="14.4" customHeight="1">
      <c r="A126" s="484"/>
      <c r="B126" s="484"/>
      <c r="D126" s="1312"/>
      <c r="E126" s="1312"/>
      <c r="F126" s="1312"/>
      <c r="I126" s="490"/>
    </row>
    <row r="127" spans="1:9">
      <c r="C127" s="402"/>
      <c r="D127" s="525"/>
      <c r="E127" s="525"/>
      <c r="F127" s="525"/>
      <c r="I127" s="490"/>
    </row>
    <row r="128" spans="1:9" ht="14.4" customHeight="1">
      <c r="A128" s="484"/>
      <c r="B128" s="485" t="s">
        <v>2790</v>
      </c>
      <c r="C128" s="402"/>
      <c r="D128" s="1363" t="s">
        <v>453</v>
      </c>
      <c r="E128" s="1312"/>
      <c r="F128" s="1312"/>
      <c r="I128" s="490"/>
    </row>
    <row r="129" spans="1:9" ht="14.4" customHeight="1">
      <c r="A129" s="484"/>
      <c r="B129" s="484"/>
      <c r="C129" s="402"/>
      <c r="D129" s="1312"/>
      <c r="E129" s="1312"/>
      <c r="F129" s="1312"/>
      <c r="I129" s="490"/>
    </row>
    <row r="130" spans="1:9">
      <c r="I130" s="490"/>
    </row>
    <row r="131" spans="1:9" ht="14.4" customHeight="1">
      <c r="A131" s="484"/>
      <c r="B131" s="485" t="s">
        <v>2790</v>
      </c>
      <c r="D131" s="1320" t="s">
        <v>454</v>
      </c>
      <c r="E131" s="1312"/>
      <c r="F131" s="1312"/>
      <c r="I131" s="490"/>
    </row>
    <row r="132" spans="1:9">
      <c r="D132" s="1312"/>
      <c r="E132" s="1312"/>
      <c r="F132" s="1312"/>
      <c r="I132" s="490"/>
    </row>
    <row r="133" spans="1:9">
      <c r="D133" s="1312"/>
      <c r="E133" s="1312"/>
      <c r="F133" s="1312"/>
      <c r="I133" s="490"/>
    </row>
    <row r="134" spans="1:9">
      <c r="D134" s="1312"/>
      <c r="E134" s="1312"/>
      <c r="F134" s="1312"/>
      <c r="I134" s="490"/>
    </row>
    <row r="135" spans="1:9">
      <c r="D135" s="1312"/>
      <c r="E135" s="1312"/>
      <c r="F135" s="1312"/>
      <c r="I135" s="490"/>
    </row>
    <row r="136" spans="1:9">
      <c r="I136" s="490"/>
    </row>
    <row r="137" spans="1:9" ht="14.4" customHeight="1">
      <c r="A137" s="484"/>
      <c r="B137" s="485" t="s">
        <v>2790</v>
      </c>
      <c r="D137" s="1320" t="s">
        <v>455</v>
      </c>
      <c r="E137" s="1312"/>
      <c r="F137" s="1312"/>
      <c r="I137" s="490"/>
    </row>
    <row r="138" spans="1:9" s="417" customFormat="1" ht="13.65" customHeight="1">
      <c r="A138" s="488"/>
      <c r="B138" s="488"/>
      <c r="C138" s="488"/>
      <c r="D138" s="1367"/>
      <c r="E138" s="1367"/>
      <c r="F138" s="1367"/>
      <c r="I138" s="1147"/>
    </row>
    <row r="139" spans="1:9" ht="13.65" customHeight="1">
      <c r="D139" s="1312"/>
      <c r="E139" s="1312"/>
      <c r="F139" s="1312"/>
      <c r="I139" s="490"/>
    </row>
    <row r="140" spans="1:9" ht="13.65" customHeight="1">
      <c r="D140" s="1312"/>
      <c r="E140" s="1312"/>
      <c r="F140" s="1312"/>
      <c r="I140" s="490"/>
    </row>
    <row r="141" spans="1:9" ht="13.65" customHeight="1">
      <c r="D141" s="1312"/>
      <c r="E141" s="1312"/>
      <c r="F141" s="1312"/>
      <c r="I141" s="490"/>
    </row>
    <row r="142" spans="1:9" ht="13.65" customHeight="1">
      <c r="A142" s="489"/>
      <c r="B142" s="489"/>
      <c r="D142" s="1312"/>
      <c r="E142" s="1312"/>
      <c r="F142" s="1312"/>
      <c r="I142" s="490"/>
    </row>
    <row r="143" spans="1:9" ht="13.65" customHeight="1">
      <c r="D143" s="1312"/>
      <c r="E143" s="1312"/>
      <c r="F143" s="1312"/>
      <c r="I143" s="490"/>
    </row>
    <row r="144" spans="1:9" ht="13.65" customHeight="1">
      <c r="D144" s="1312"/>
      <c r="E144" s="1312"/>
      <c r="F144" s="1312"/>
      <c r="I144" s="490"/>
    </row>
    <row r="145" spans="2:9" ht="13.65" customHeight="1">
      <c r="D145" s="1312"/>
      <c r="E145" s="1312"/>
      <c r="F145" s="1312"/>
      <c r="I145" s="490"/>
    </row>
    <row r="146" spans="2:9" ht="13.65" customHeight="1">
      <c r="D146" s="1312"/>
      <c r="E146" s="1312"/>
      <c r="F146" s="1312"/>
      <c r="I146" s="490"/>
    </row>
    <row r="147" spans="2:9" ht="13.65" customHeight="1">
      <c r="D147" s="1312"/>
      <c r="E147" s="1312"/>
      <c r="F147" s="1312"/>
      <c r="I147" s="490"/>
    </row>
    <row r="148" spans="2:9" ht="13.65" customHeight="1">
      <c r="D148" s="1312"/>
      <c r="E148" s="1312"/>
      <c r="F148" s="1312"/>
      <c r="I148" s="490"/>
    </row>
    <row r="149" spans="2:9" ht="13.65" customHeight="1">
      <c r="D149" s="1312"/>
      <c r="E149" s="1312"/>
      <c r="F149" s="1312"/>
      <c r="I149" s="490"/>
    </row>
    <row r="150" spans="2:9" ht="13.65" customHeight="1">
      <c r="D150" s="476"/>
      <c r="E150" s="446"/>
      <c r="F150" s="446"/>
      <c r="I150" s="490"/>
    </row>
    <row r="151" spans="2:9" ht="13.65" customHeight="1">
      <c r="B151" s="485" t="s">
        <v>427</v>
      </c>
      <c r="D151" s="1320" t="s">
        <v>456</v>
      </c>
      <c r="E151" s="1312"/>
      <c r="F151" s="1312"/>
      <c r="I151" s="490"/>
    </row>
    <row r="152" spans="2:9" ht="13.65" customHeight="1">
      <c r="D152" s="1312"/>
      <c r="E152" s="1312"/>
      <c r="F152" s="1312"/>
      <c r="I152" s="490"/>
    </row>
    <row r="153" spans="2:9" ht="13.65" customHeight="1">
      <c r="D153" s="1312"/>
      <c r="E153" s="1312"/>
      <c r="F153" s="1312"/>
      <c r="I153" s="490"/>
    </row>
    <row r="154" spans="2:9" ht="13.65" customHeight="1">
      <c r="D154" s="1312"/>
      <c r="E154" s="1312"/>
      <c r="F154" s="1312"/>
      <c r="I154" s="490"/>
    </row>
    <row r="155" spans="2:9" ht="13.65" customHeight="1">
      <c r="D155" s="1312"/>
      <c r="E155" s="1312"/>
      <c r="F155" s="1312"/>
      <c r="I155" s="490"/>
    </row>
    <row r="156" spans="2:9" ht="13.65" customHeight="1">
      <c r="D156" s="1312"/>
      <c r="E156" s="1312"/>
      <c r="F156" s="1312"/>
      <c r="I156" s="490"/>
    </row>
    <row r="157" spans="2:9" ht="13.65" customHeight="1">
      <c r="D157" s="1312"/>
      <c r="E157" s="1312"/>
      <c r="F157" s="1312"/>
      <c r="I157" s="490"/>
    </row>
    <row r="158" spans="2:9" ht="13.65" customHeight="1">
      <c r="D158" s="1312"/>
      <c r="E158" s="1312"/>
      <c r="F158" s="1312"/>
      <c r="I158" s="490"/>
    </row>
    <row r="159" spans="2:9" ht="13.65" customHeight="1">
      <c r="D159" s="1312"/>
      <c r="E159" s="1312"/>
      <c r="F159" s="1312"/>
      <c r="I159" s="490"/>
    </row>
    <row r="160" spans="2:9" ht="13.65" customHeight="1">
      <c r="D160" s="1312"/>
      <c r="E160" s="1312"/>
      <c r="F160" s="1312"/>
      <c r="I160" s="490"/>
    </row>
    <row r="161" spans="1:9" ht="13.65" customHeight="1">
      <c r="D161" s="1312"/>
      <c r="E161" s="1312"/>
      <c r="F161" s="1312"/>
      <c r="I161" s="490"/>
    </row>
    <row r="162" spans="1:9" ht="13.65" customHeight="1">
      <c r="D162" s="1312"/>
      <c r="E162" s="1312"/>
      <c r="F162" s="1312"/>
      <c r="I162" s="490"/>
    </row>
    <row r="163" spans="1:9" ht="13.65" customHeight="1">
      <c r="D163" s="1312"/>
      <c r="E163" s="1312"/>
      <c r="F163" s="1312"/>
      <c r="I163" s="490"/>
    </row>
    <row r="164" spans="1:9" ht="13.65" customHeight="1">
      <c r="D164" s="1312"/>
      <c r="E164" s="1312"/>
      <c r="F164" s="1312"/>
      <c r="I164" s="490"/>
    </row>
    <row r="165" spans="1:9" ht="13.65" customHeight="1">
      <c r="D165" s="1312"/>
      <c r="E165" s="1312"/>
      <c r="F165" s="1312"/>
      <c r="I165" s="490"/>
    </row>
    <row r="166" spans="1:9" ht="13.65" customHeight="1">
      <c r="D166" s="1312"/>
      <c r="E166" s="1312"/>
      <c r="F166" s="1312"/>
      <c r="I166" s="490"/>
    </row>
    <row r="167" spans="1:9" ht="13.65" customHeight="1">
      <c r="D167" s="1312"/>
      <c r="E167" s="1312"/>
      <c r="F167" s="1312"/>
      <c r="I167" s="490"/>
    </row>
    <row r="168" spans="1:9" ht="13.65" customHeight="1">
      <c r="D168" s="1312"/>
      <c r="E168" s="1312"/>
      <c r="F168" s="1312"/>
      <c r="I168" s="490"/>
    </row>
    <row r="169" spans="1:9" ht="13.65" customHeight="1">
      <c r="D169" s="1307" t="s">
        <v>457</v>
      </c>
      <c r="E169" s="1312"/>
      <c r="F169" s="1312"/>
      <c r="G169" s="507"/>
      <c r="I169" s="490"/>
    </row>
    <row r="170" spans="1:9" ht="13.65" customHeight="1">
      <c r="D170" s="1330"/>
      <c r="E170" s="1312"/>
      <c r="F170" s="1312"/>
      <c r="G170" s="1312"/>
      <c r="I170" s="490"/>
    </row>
    <row r="171" spans="1:9" ht="14.4" customHeight="1">
      <c r="A171" s="489"/>
      <c r="B171" s="485" t="s">
        <v>427</v>
      </c>
      <c r="C171" s="476"/>
      <c r="D171" s="1310" t="s">
        <v>458</v>
      </c>
      <c r="E171" s="1312"/>
      <c r="F171" s="1312"/>
      <c r="G171" s="476"/>
      <c r="I171" s="490"/>
    </row>
    <row r="172" spans="1:9" ht="14.4" customHeight="1">
      <c r="A172" s="489"/>
      <c r="B172" s="489"/>
      <c r="C172" s="476"/>
      <c r="D172" s="1312"/>
      <c r="E172" s="1312"/>
      <c r="F172" s="1312"/>
      <c r="G172" s="476"/>
      <c r="I172" s="490"/>
    </row>
    <row r="173" spans="1:9" ht="14.4" customHeight="1">
      <c r="A173" s="489"/>
      <c r="B173" s="489"/>
      <c r="C173" s="476"/>
      <c r="D173" s="1312"/>
      <c r="E173" s="1312"/>
      <c r="F173" s="1312"/>
      <c r="G173" s="476"/>
      <c r="I173" s="490"/>
    </row>
    <row r="174" spans="1:9" ht="14.4" customHeight="1">
      <c r="A174" s="489"/>
      <c r="B174" s="489"/>
      <c r="C174" s="476"/>
      <c r="D174" s="1312"/>
      <c r="E174" s="1312"/>
      <c r="F174" s="1312"/>
      <c r="G174" s="476"/>
      <c r="I174" s="490"/>
    </row>
    <row r="175" spans="1:9" ht="13.65" customHeight="1">
      <c r="A175" s="489"/>
      <c r="B175" s="489"/>
      <c r="C175" s="476"/>
      <c r="D175" s="1312"/>
      <c r="E175" s="1312"/>
      <c r="F175" s="1312"/>
      <c r="G175" s="476"/>
      <c r="I175" s="490"/>
    </row>
    <row r="176" spans="1:9" ht="13.65" customHeight="1">
      <c r="A176" s="489"/>
      <c r="B176" s="489"/>
      <c r="C176" s="476"/>
      <c r="D176" s="476"/>
      <c r="E176" s="476"/>
      <c r="F176" s="476"/>
      <c r="G176" s="476"/>
      <c r="I176" s="490"/>
    </row>
    <row r="177" spans="1:9" ht="13.65" customHeight="1">
      <c r="A177" s="489"/>
      <c r="B177" s="485" t="s">
        <v>2790</v>
      </c>
      <c r="C177" s="476"/>
      <c r="D177" s="1310" t="s">
        <v>459</v>
      </c>
      <c r="E177" s="1312"/>
      <c r="F177" s="1312"/>
      <c r="G177" s="476"/>
      <c r="I177" s="490"/>
    </row>
    <row r="178" spans="1:9" ht="13.65" customHeight="1">
      <c r="A178" s="489"/>
      <c r="B178" s="489"/>
      <c r="C178" s="476"/>
      <c r="D178" s="1312"/>
      <c r="E178" s="1312"/>
      <c r="F178" s="1312"/>
      <c r="G178" s="476"/>
      <c r="I178" s="490"/>
    </row>
    <row r="179" spans="1:9" ht="13.65" customHeight="1">
      <c r="A179" s="489"/>
      <c r="B179" s="489"/>
      <c r="C179" s="476"/>
      <c r="D179" s="1312"/>
      <c r="E179" s="1312"/>
      <c r="F179" s="1312"/>
      <c r="G179" s="476"/>
      <c r="I179" s="490"/>
    </row>
    <row r="180" spans="1:9" ht="13.65" customHeight="1">
      <c r="A180" s="489"/>
      <c r="B180" s="489"/>
      <c r="C180" s="476"/>
      <c r="D180" s="1312"/>
      <c r="E180" s="1312"/>
      <c r="F180" s="1312"/>
      <c r="G180" s="476"/>
      <c r="I180" s="490"/>
    </row>
    <row r="181" spans="1:9" ht="13.65" customHeight="1">
      <c r="D181" s="446"/>
      <c r="E181" s="446"/>
      <c r="F181" s="446"/>
      <c r="I181" s="490"/>
    </row>
    <row r="182" spans="1:9" ht="13.65" hidden="1" customHeight="1">
      <c r="B182" s="485" t="s">
        <v>444</v>
      </c>
      <c r="D182" s="1322" t="s">
        <v>460</v>
      </c>
      <c r="E182" s="1312"/>
      <c r="F182" s="1312"/>
      <c r="I182" s="490"/>
    </row>
    <row r="183" spans="1:9" ht="13.65" hidden="1" customHeight="1">
      <c r="D183" s="1312"/>
      <c r="E183" s="1312"/>
      <c r="F183" s="1312"/>
      <c r="I183" s="490"/>
    </row>
    <row r="184" spans="1:9" ht="13.65" hidden="1" customHeight="1">
      <c r="D184" s="1312"/>
      <c r="E184" s="1312"/>
      <c r="F184" s="1312"/>
      <c r="I184" s="490"/>
    </row>
    <row r="185" spans="1:9" ht="13.65" customHeight="1">
      <c r="A185" s="490"/>
      <c r="B185" s="490"/>
      <c r="E185" s="446"/>
      <c r="F185" s="446"/>
      <c r="I185" s="490"/>
    </row>
    <row r="186" spans="1:9">
      <c r="A186" s="1331" t="s">
        <v>461</v>
      </c>
      <c r="B186" s="1263"/>
      <c r="C186" s="1263"/>
      <c r="D186" s="1263"/>
      <c r="E186" s="1263"/>
      <c r="F186" s="1263"/>
      <c r="G186" s="1263"/>
      <c r="H186" s="1023"/>
      <c r="I186" s="1145"/>
    </row>
    <row r="187" spans="1:9" ht="12" customHeight="1">
      <c r="D187" s="446"/>
      <c r="E187" s="446"/>
      <c r="F187" s="446"/>
      <c r="I187" s="490"/>
    </row>
    <row r="188" spans="1:9">
      <c r="B188" s="1327" t="s">
        <v>462</v>
      </c>
      <c r="C188" s="1328"/>
      <c r="D188" s="1312"/>
      <c r="E188" s="1312"/>
      <c r="F188" s="1312"/>
      <c r="I188" s="490"/>
    </row>
    <row r="189" spans="1:9">
      <c r="B189" s="392" t="s">
        <v>463</v>
      </c>
      <c r="C189" s="392"/>
      <c r="D189" s="392"/>
      <c r="E189" s="392"/>
      <c r="F189" s="392"/>
      <c r="I189" s="490"/>
    </row>
    <row r="190" spans="1:9" ht="12" customHeight="1">
      <c r="A190" s="482"/>
      <c r="B190" s="482"/>
      <c r="C190" s="482"/>
      <c r="I190" s="490"/>
    </row>
    <row r="191" spans="1:9">
      <c r="A191" s="1331" t="s">
        <v>464</v>
      </c>
      <c r="B191" s="1263"/>
      <c r="C191" s="1263"/>
      <c r="D191" s="1263"/>
      <c r="E191" s="1263"/>
      <c r="F191" s="1263"/>
      <c r="G191" s="1263"/>
      <c r="H191" s="1023"/>
      <c r="I191" s="1145"/>
    </row>
    <row r="192" spans="1:9" ht="12" customHeight="1">
      <c r="A192" s="404"/>
      <c r="B192" s="404"/>
      <c r="E192" s="404"/>
      <c r="I192" s="490"/>
    </row>
    <row r="193" spans="1:9" ht="13.65" customHeight="1">
      <c r="A193" s="404"/>
      <c r="B193" s="404"/>
      <c r="D193" s="1341" t="s">
        <v>465</v>
      </c>
      <c r="E193" s="1312"/>
      <c r="F193" s="1312"/>
      <c r="I193" s="490"/>
    </row>
    <row r="194" spans="1:9">
      <c r="A194" s="404"/>
      <c r="B194" s="404"/>
      <c r="D194" s="1312"/>
      <c r="E194" s="1312"/>
      <c r="F194" s="1312"/>
      <c r="I194" s="490"/>
    </row>
    <row r="195" spans="1:9">
      <c r="A195" s="404"/>
      <c r="B195" s="404"/>
      <c r="D195" s="1327" t="s">
        <v>466</v>
      </c>
      <c r="E195" s="1312"/>
      <c r="F195" s="1312"/>
      <c r="I195" s="490"/>
    </row>
    <row r="196" spans="1:9">
      <c r="A196" s="404"/>
      <c r="B196" s="404"/>
      <c r="D196" s="392"/>
      <c r="E196" s="392"/>
      <c r="F196" s="392"/>
      <c r="I196" s="490"/>
    </row>
    <row r="197" spans="1:9">
      <c r="A197" s="404"/>
      <c r="B197" s="485" t="s">
        <v>2790</v>
      </c>
      <c r="D197" s="1311" t="s">
        <v>467</v>
      </c>
      <c r="E197" s="1312"/>
      <c r="F197" s="1312"/>
      <c r="I197" s="490"/>
    </row>
    <row r="198" spans="1:9">
      <c r="A198" s="404"/>
      <c r="B198" s="404"/>
      <c r="D198" s="1334" t="s">
        <v>468</v>
      </c>
      <c r="E198" s="1312"/>
      <c r="F198" s="1312"/>
      <c r="I198" s="490"/>
    </row>
    <row r="199" spans="1:9">
      <c r="A199" s="404"/>
      <c r="B199" s="404"/>
      <c r="D199" s="96" t="s">
        <v>469</v>
      </c>
      <c r="E199" s="1323" t="s">
        <v>470</v>
      </c>
      <c r="F199" s="1312"/>
      <c r="I199" s="490"/>
    </row>
    <row r="200" spans="1:9">
      <c r="A200" s="404"/>
      <c r="B200" s="404"/>
      <c r="D200" s="3"/>
      <c r="E200" s="3"/>
      <c r="F200" s="3"/>
      <c r="I200" s="490"/>
    </row>
    <row r="201" spans="1:9">
      <c r="A201" s="404"/>
      <c r="B201" s="485" t="s">
        <v>427</v>
      </c>
      <c r="D201" s="1334" t="s">
        <v>471</v>
      </c>
      <c r="E201" s="1312"/>
      <c r="F201" s="1312"/>
      <c r="I201" s="490"/>
    </row>
    <row r="202" spans="1:9">
      <c r="A202" s="404"/>
      <c r="B202" s="404"/>
      <c r="D202" s="1311" t="s">
        <v>468</v>
      </c>
      <c r="E202" s="1312"/>
      <c r="F202" s="1312"/>
      <c r="I202" s="490"/>
    </row>
    <row r="203" spans="1:9">
      <c r="A203" s="404"/>
      <c r="B203" s="404"/>
      <c r="D203" s="57" t="s">
        <v>472</v>
      </c>
      <c r="E203" s="1323" t="s">
        <v>473</v>
      </c>
      <c r="F203" s="1312"/>
      <c r="I203" s="490"/>
    </row>
    <row r="204" spans="1:9">
      <c r="A204" s="404"/>
      <c r="B204" s="404"/>
      <c r="D204" s="3"/>
      <c r="E204" s="3"/>
      <c r="F204" s="3"/>
      <c r="I204" s="490"/>
    </row>
    <row r="205" spans="1:9">
      <c r="A205" s="404"/>
      <c r="B205" s="485" t="s">
        <v>427</v>
      </c>
      <c r="D205" s="1334" t="s">
        <v>474</v>
      </c>
      <c r="E205" s="1312"/>
      <c r="F205" s="1312"/>
      <c r="I205" s="490"/>
    </row>
    <row r="206" spans="1:9">
      <c r="A206" s="404"/>
      <c r="B206" s="404"/>
      <c r="D206" s="1311" t="s">
        <v>468</v>
      </c>
      <c r="E206" s="1312"/>
      <c r="F206" s="1312"/>
      <c r="I206" s="490"/>
    </row>
    <row r="207" spans="1:9">
      <c r="A207" s="404"/>
      <c r="B207" s="404"/>
      <c r="D207" s="57" t="s">
        <v>469</v>
      </c>
      <c r="E207" s="1323" t="s">
        <v>475</v>
      </c>
      <c r="F207" s="1312"/>
      <c r="I207" s="490"/>
    </row>
    <row r="208" spans="1:9">
      <c r="A208" s="404"/>
      <c r="B208" s="404"/>
      <c r="D208" s="392"/>
      <c r="E208" s="392"/>
      <c r="F208" s="392"/>
      <c r="I208" s="490"/>
    </row>
    <row r="209" spans="1:9" ht="14.25" customHeight="1">
      <c r="A209" s="484"/>
      <c r="B209" s="485" t="s">
        <v>427</v>
      </c>
      <c r="D209" s="386" t="s">
        <v>476</v>
      </c>
      <c r="E209" s="385"/>
      <c r="F209" s="385"/>
      <c r="I209" s="490"/>
    </row>
    <row r="210" spans="1:9" ht="14.4" customHeight="1">
      <c r="A210" s="484"/>
      <c r="B210" s="484"/>
      <c r="D210" s="1311" t="s">
        <v>468</v>
      </c>
      <c r="E210" s="1312"/>
      <c r="F210" s="1312"/>
      <c r="I210" s="490"/>
    </row>
    <row r="211" spans="1:9">
      <c r="D211" s="385"/>
      <c r="E211" s="1323" t="s">
        <v>477</v>
      </c>
      <c r="F211" s="1312"/>
      <c r="I211" s="490"/>
    </row>
    <row r="212" spans="1:9">
      <c r="D212" s="447"/>
      <c r="I212" s="490"/>
    </row>
    <row r="213" spans="1:9">
      <c r="B213" s="485" t="s">
        <v>427</v>
      </c>
      <c r="D213" s="1334" t="s">
        <v>478</v>
      </c>
      <c r="E213" s="1312"/>
      <c r="F213" s="1312"/>
      <c r="I213" s="490"/>
    </row>
    <row r="214" spans="1:9">
      <c r="D214" s="1311" t="s">
        <v>468</v>
      </c>
      <c r="E214" s="1312"/>
      <c r="F214" s="1312"/>
      <c r="I214" s="490"/>
    </row>
    <row r="215" spans="1:9">
      <c r="D215" s="57" t="s">
        <v>469</v>
      </c>
      <c r="E215" s="1323" t="s">
        <v>479</v>
      </c>
      <c r="F215" s="1312"/>
      <c r="I215" s="490"/>
    </row>
    <row r="216" spans="1:9">
      <c r="D216" s="451"/>
      <c r="E216" s="451"/>
      <c r="F216" s="451"/>
      <c r="I216" s="490"/>
    </row>
    <row r="217" spans="1:9" ht="14.4" customHeight="1">
      <c r="A217" s="484"/>
      <c r="B217" s="485" t="s">
        <v>427</v>
      </c>
      <c r="D217" s="1320" t="s">
        <v>480</v>
      </c>
      <c r="E217" s="1312"/>
      <c r="F217" s="1312"/>
      <c r="I217" s="490"/>
    </row>
    <row r="218" spans="1:9" ht="14.4" customHeight="1">
      <c r="A218" s="484"/>
      <c r="B218" s="402"/>
      <c r="D218" s="1312"/>
      <c r="E218" s="1312"/>
      <c r="F218" s="1312"/>
      <c r="I218" s="490"/>
    </row>
    <row r="219" spans="1:9" ht="14.4" customHeight="1">
      <c r="A219" s="484"/>
      <c r="D219" s="1312"/>
      <c r="E219" s="1312"/>
      <c r="F219" s="1312"/>
      <c r="I219" s="490"/>
    </row>
    <row r="220" spans="1:9" ht="14.4" customHeight="1">
      <c r="A220" s="484"/>
      <c r="D220" s="1312"/>
      <c r="E220" s="1312"/>
      <c r="F220" s="1312"/>
      <c r="I220" s="490"/>
    </row>
    <row r="221" spans="1:9">
      <c r="D221" s="451"/>
      <c r="E221" s="451"/>
      <c r="F221" s="451"/>
      <c r="I221" s="490"/>
    </row>
    <row r="222" spans="1:9">
      <c r="A222" s="1331" t="s">
        <v>481</v>
      </c>
      <c r="B222" s="1263"/>
      <c r="C222" s="1263"/>
      <c r="D222" s="1263"/>
      <c r="E222" s="1263"/>
      <c r="F222" s="1263"/>
      <c r="G222" s="1263"/>
      <c r="H222" s="1023"/>
      <c r="I222" s="1145"/>
    </row>
    <row r="223" spans="1:9" ht="12" customHeight="1">
      <c r="D223" s="446"/>
      <c r="E223" s="446"/>
      <c r="F223" s="446"/>
      <c r="I223" s="490"/>
    </row>
    <row r="224" spans="1:9">
      <c r="C224" s="486"/>
      <c r="D224" s="1321" t="s">
        <v>482</v>
      </c>
      <c r="E224" s="1312"/>
      <c r="F224" s="1312"/>
      <c r="I224" s="490"/>
    </row>
    <row r="225" spans="1:9">
      <c r="A225" s="482"/>
      <c r="B225" s="482"/>
      <c r="C225" s="482"/>
      <c r="D225" s="1319" t="s">
        <v>483</v>
      </c>
      <c r="E225" s="1312"/>
      <c r="F225" s="1312"/>
      <c r="I225" s="490"/>
    </row>
    <row r="226" spans="1:9" ht="12" customHeight="1">
      <c r="A226" s="490"/>
      <c r="B226" s="490"/>
      <c r="C226" s="490"/>
      <c r="I226" s="490"/>
    </row>
    <row r="227" spans="1:9" ht="13.65" customHeight="1">
      <c r="A227" s="490"/>
      <c r="C227" s="490"/>
      <c r="D227" s="1321" t="s">
        <v>484</v>
      </c>
      <c r="E227" s="1312"/>
      <c r="F227" s="1312"/>
      <c r="I227" s="490"/>
    </row>
    <row r="228" spans="1:9" ht="14.4" customHeight="1">
      <c r="A228" s="484"/>
      <c r="B228" s="485" t="s">
        <v>2790</v>
      </c>
      <c r="D228" s="1320" t="s">
        <v>485</v>
      </c>
      <c r="E228" s="1312"/>
      <c r="F228" s="1312"/>
      <c r="I228" s="490"/>
    </row>
    <row r="229" spans="1:9" ht="14.25" customHeight="1">
      <c r="A229" s="484"/>
      <c r="B229" s="484"/>
      <c r="D229" s="1312"/>
      <c r="E229" s="1312"/>
      <c r="F229" s="1312"/>
      <c r="I229" s="490"/>
    </row>
    <row r="230" spans="1:9" ht="14.25" customHeight="1">
      <c r="A230" s="484"/>
      <c r="B230" s="484"/>
      <c r="D230" s="1312"/>
      <c r="E230" s="1312"/>
      <c r="F230" s="1312"/>
      <c r="I230" s="490"/>
    </row>
    <row r="231" spans="1:9" ht="14.4" customHeight="1">
      <c r="A231" s="484"/>
      <c r="B231" s="484"/>
      <c r="D231" s="1312"/>
      <c r="E231" s="1312"/>
      <c r="F231" s="1312"/>
      <c r="I231" s="490"/>
    </row>
    <row r="232" spans="1:9" ht="14.4" customHeight="1">
      <c r="A232" s="484"/>
      <c r="B232" s="484"/>
      <c r="D232" s="445"/>
      <c r="E232" s="445"/>
      <c r="F232" s="445"/>
      <c r="I232" s="490"/>
    </row>
    <row r="233" spans="1:9" ht="14.4" customHeight="1">
      <c r="A233" s="484"/>
      <c r="B233" s="485" t="s">
        <v>2790</v>
      </c>
      <c r="D233" s="1320" t="s">
        <v>486</v>
      </c>
      <c r="E233" s="1312"/>
      <c r="F233" s="1312"/>
      <c r="I233" s="490"/>
    </row>
    <row r="234" spans="1:9" ht="14.4" customHeight="1">
      <c r="A234" s="484"/>
      <c r="B234" s="484"/>
      <c r="D234" s="1312"/>
      <c r="E234" s="1312"/>
      <c r="F234" s="1312"/>
      <c r="I234" s="490"/>
    </row>
    <row r="235" spans="1:9" ht="14.4" customHeight="1">
      <c r="A235" s="484"/>
      <c r="B235" s="484"/>
      <c r="D235" s="1312"/>
      <c r="E235" s="1312"/>
      <c r="F235" s="1312"/>
      <c r="I235" s="490"/>
    </row>
    <row r="236" spans="1:9" ht="14.4" customHeight="1">
      <c r="A236" s="484"/>
      <c r="B236" s="484"/>
      <c r="D236" s="1312"/>
      <c r="E236" s="1312"/>
      <c r="F236" s="1312"/>
      <c r="I236" s="490"/>
    </row>
    <row r="237" spans="1:9" ht="14.25" customHeight="1">
      <c r="A237" s="484"/>
      <c r="B237" s="484"/>
      <c r="D237" s="1312"/>
      <c r="E237" s="1312"/>
      <c r="F237" s="1312"/>
      <c r="I237" s="490"/>
    </row>
    <row r="238" spans="1:9" ht="14.25" customHeight="1">
      <c r="A238" s="484"/>
      <c r="B238" s="484"/>
      <c r="D238" s="445"/>
      <c r="E238" s="445"/>
      <c r="F238" s="445"/>
      <c r="I238" s="490"/>
    </row>
    <row r="239" spans="1:9" ht="14.4" customHeight="1">
      <c r="A239" s="484"/>
      <c r="B239" s="484"/>
      <c r="D239" s="1320" t="s">
        <v>487</v>
      </c>
      <c r="E239" s="1312"/>
      <c r="F239" s="1312"/>
      <c r="I239" s="490"/>
    </row>
    <row r="240" spans="1:9" ht="14.4" customHeight="1">
      <c r="A240" s="484"/>
      <c r="B240" s="484"/>
      <c r="D240" s="1312"/>
      <c r="E240" s="1312"/>
      <c r="F240" s="1312"/>
      <c r="I240" s="490"/>
    </row>
    <row r="241" spans="1:9" ht="14.4" customHeight="1">
      <c r="A241" s="484"/>
      <c r="B241" s="484"/>
      <c r="D241" s="1312"/>
      <c r="E241" s="1312"/>
      <c r="F241" s="1312"/>
      <c r="I241" s="490"/>
    </row>
    <row r="242" spans="1:9" ht="14.4" customHeight="1">
      <c r="A242" s="484"/>
      <c r="B242" s="484"/>
      <c r="D242" s="1312"/>
      <c r="E242" s="1312"/>
      <c r="F242" s="1312"/>
      <c r="I242" s="490"/>
    </row>
    <row r="243" spans="1:9" ht="14.4" customHeight="1">
      <c r="A243" s="484"/>
      <c r="B243" s="484"/>
      <c r="D243" s="1312"/>
      <c r="E243" s="1312"/>
      <c r="F243" s="1312"/>
      <c r="I243" s="490"/>
    </row>
    <row r="244" spans="1:9" ht="14.4" customHeight="1">
      <c r="A244" s="484"/>
      <c r="B244" s="484"/>
      <c r="D244" s="446"/>
      <c r="E244" s="446"/>
      <c r="F244" s="446"/>
      <c r="I244" s="490"/>
    </row>
    <row r="245" spans="1:9" ht="14.4" customHeight="1">
      <c r="A245" s="484"/>
      <c r="B245" s="485" t="s">
        <v>427</v>
      </c>
      <c r="D245" s="1320" t="s">
        <v>488</v>
      </c>
      <c r="E245" s="1312"/>
      <c r="F245" s="1312"/>
      <c r="I245" s="490"/>
    </row>
    <row r="246" spans="1:9" ht="14.4" customHeight="1">
      <c r="A246" s="484"/>
      <c r="B246" s="484"/>
      <c r="D246" s="1312"/>
      <c r="E246" s="1312"/>
      <c r="F246" s="1312"/>
      <c r="I246" s="490"/>
    </row>
    <row r="247" spans="1:9" ht="14.4" customHeight="1">
      <c r="A247" s="484"/>
      <c r="B247" s="484"/>
      <c r="D247" s="1312"/>
      <c r="E247" s="1312"/>
      <c r="F247" s="1312"/>
      <c r="I247" s="490"/>
    </row>
    <row r="248" spans="1:9" ht="14.4" customHeight="1">
      <c r="A248" s="484"/>
      <c r="B248" s="484"/>
      <c r="E248" s="1031" t="s">
        <v>489</v>
      </c>
      <c r="I248" s="490"/>
    </row>
    <row r="249" spans="1:9" ht="14.4" customHeight="1">
      <c r="A249" s="484"/>
      <c r="B249" s="484"/>
      <c r="D249" s="446"/>
      <c r="E249" s="446"/>
      <c r="F249" s="446"/>
      <c r="I249" s="490"/>
    </row>
    <row r="250" spans="1:9" ht="14.4" customHeight="1">
      <c r="A250" s="484"/>
      <c r="B250" s="485" t="s">
        <v>427</v>
      </c>
      <c r="D250" s="1320" t="s">
        <v>490</v>
      </c>
      <c r="E250" s="1312"/>
      <c r="F250" s="1312"/>
      <c r="I250" s="490"/>
    </row>
    <row r="251" spans="1:9" ht="14.4" customHeight="1">
      <c r="A251" s="484"/>
      <c r="B251" s="484"/>
      <c r="D251" s="1312"/>
      <c r="E251" s="1312"/>
      <c r="F251" s="1312"/>
      <c r="I251" s="490"/>
    </row>
    <row r="252" spans="1:9" ht="14.4" customHeight="1">
      <c r="A252" s="484"/>
      <c r="B252" s="484"/>
      <c r="D252" s="1312"/>
      <c r="E252" s="1312"/>
      <c r="F252" s="1312"/>
      <c r="I252" s="490"/>
    </row>
    <row r="253" spans="1:9" ht="14.4" customHeight="1">
      <c r="A253" s="484"/>
      <c r="B253" s="484"/>
      <c r="D253" s="1312"/>
      <c r="E253" s="1312"/>
      <c r="F253" s="1312"/>
      <c r="I253" s="490"/>
    </row>
    <row r="254" spans="1:9" ht="14.4" customHeight="1">
      <c r="A254" s="484"/>
      <c r="B254" s="484"/>
      <c r="D254" s="1312"/>
      <c r="E254" s="1312"/>
      <c r="F254" s="1312"/>
      <c r="I254" s="490"/>
    </row>
    <row r="255" spans="1:9" ht="14.4" customHeight="1">
      <c r="A255" s="484"/>
      <c r="B255" s="484"/>
      <c r="D255" s="445"/>
      <c r="E255" s="445"/>
      <c r="F255" s="445"/>
      <c r="I255" s="490"/>
    </row>
    <row r="256" spans="1:9" ht="14.4" customHeight="1">
      <c r="A256" s="484"/>
      <c r="B256" s="485" t="s">
        <v>2790</v>
      </c>
      <c r="D256" s="392" t="s">
        <v>491</v>
      </c>
      <c r="E256" s="445"/>
      <c r="F256" s="445"/>
      <c r="I256" s="490"/>
    </row>
    <row r="257" spans="1:9" ht="14.4" customHeight="1">
      <c r="A257" s="484"/>
      <c r="B257" s="484"/>
      <c r="E257" s="1031" t="s">
        <v>492</v>
      </c>
      <c r="I257" s="490"/>
    </row>
    <row r="258" spans="1:9">
      <c r="D258" s="446"/>
      <c r="E258" s="446"/>
      <c r="F258" s="446"/>
      <c r="I258" s="490"/>
    </row>
    <row r="259" spans="1:9" ht="14.4" customHeight="1">
      <c r="A259" s="484"/>
      <c r="B259" s="485" t="s">
        <v>2790</v>
      </c>
      <c r="D259" s="1320" t="s">
        <v>493</v>
      </c>
      <c r="E259" s="1312"/>
      <c r="F259" s="1312"/>
      <c r="I259" s="490"/>
    </row>
    <row r="260" spans="1:9" ht="14.4" customHeight="1">
      <c r="A260" s="484"/>
      <c r="B260" s="484"/>
      <c r="D260" s="1312"/>
      <c r="E260" s="1312"/>
      <c r="F260" s="1312"/>
      <c r="I260" s="490"/>
    </row>
    <row r="261" spans="1:9">
      <c r="D261" s="491"/>
      <c r="I261" s="490"/>
    </row>
    <row r="262" spans="1:9">
      <c r="A262" s="1331" t="s">
        <v>494</v>
      </c>
      <c r="B262" s="1263"/>
      <c r="C262" s="1263"/>
      <c r="D262" s="1263"/>
      <c r="E262" s="1263"/>
      <c r="F262" s="1263"/>
      <c r="G262" s="1263"/>
      <c r="H262" s="1023"/>
      <c r="I262" s="1145"/>
    </row>
    <row r="263" spans="1:9">
      <c r="D263" s="491"/>
      <c r="I263" s="490"/>
    </row>
    <row r="264" spans="1:9">
      <c r="C264" s="486"/>
      <c r="D264" s="1321" t="s">
        <v>495</v>
      </c>
      <c r="E264" s="1312"/>
      <c r="F264" s="1312"/>
      <c r="I264" s="490"/>
    </row>
    <row r="265" spans="1:9">
      <c r="A265" s="482"/>
      <c r="B265" s="482"/>
      <c r="C265" s="482"/>
      <c r="D265" s="446"/>
      <c r="E265" s="446"/>
      <c r="F265" s="446"/>
      <c r="I265" s="490"/>
    </row>
    <row r="266" spans="1:9">
      <c r="A266" s="483"/>
      <c r="B266" s="483"/>
      <c r="C266" s="483"/>
      <c r="D266" s="1321" t="s">
        <v>496</v>
      </c>
      <c r="E266" s="1312"/>
      <c r="F266" s="1312"/>
      <c r="I266" s="490"/>
    </row>
    <row r="267" spans="1:9" ht="14.4" customHeight="1">
      <c r="A267" s="484"/>
      <c r="B267" s="485" t="s">
        <v>2790</v>
      </c>
      <c r="D267" s="1320" t="s">
        <v>497</v>
      </c>
      <c r="E267" s="1312"/>
      <c r="F267" s="1312"/>
      <c r="I267" s="490"/>
    </row>
    <row r="268" spans="1:9">
      <c r="D268" s="1312"/>
      <c r="E268" s="1312"/>
      <c r="F268" s="1312"/>
      <c r="I268" s="490"/>
    </row>
    <row r="269" spans="1:9">
      <c r="E269" s="1031" t="s">
        <v>498</v>
      </c>
      <c r="I269" s="490"/>
    </row>
    <row r="270" spans="1:9">
      <c r="D270" s="446"/>
      <c r="E270" s="446"/>
      <c r="F270" s="446"/>
      <c r="I270" s="490"/>
    </row>
    <row r="271" spans="1:9" ht="14.4" customHeight="1">
      <c r="A271" s="484"/>
      <c r="B271" s="485" t="s">
        <v>427</v>
      </c>
      <c r="D271" s="1320" t="s">
        <v>499</v>
      </c>
      <c r="E271" s="1312"/>
      <c r="F271" s="1312"/>
      <c r="I271" s="490"/>
    </row>
    <row r="272" spans="1:9">
      <c r="D272" s="1312"/>
      <c r="E272" s="1312"/>
      <c r="F272" s="1312"/>
      <c r="I272" s="490"/>
    </row>
    <row r="273" spans="1:9">
      <c r="D273" s="1312"/>
      <c r="E273" s="1312"/>
      <c r="F273" s="1312"/>
      <c r="I273" s="490"/>
    </row>
    <row r="274" spans="1:9">
      <c r="D274" s="1312"/>
      <c r="E274" s="1312"/>
      <c r="F274" s="1312"/>
      <c r="I274" s="490"/>
    </row>
    <row r="275" spans="1:9">
      <c r="D275" s="1312"/>
      <c r="E275" s="1312"/>
      <c r="F275" s="1312"/>
      <c r="I275" s="490"/>
    </row>
    <row r="276" spans="1:9">
      <c r="D276" s="1312"/>
      <c r="E276" s="1312"/>
      <c r="F276" s="1312"/>
      <c r="I276" s="490"/>
    </row>
    <row r="277" spans="1:9">
      <c r="D277" s="446"/>
      <c r="E277" s="446"/>
      <c r="F277" s="446"/>
      <c r="I277" s="490"/>
    </row>
    <row r="278" spans="1:9" ht="14.4" customHeight="1">
      <c r="A278" s="484"/>
      <c r="B278" s="485" t="s">
        <v>427</v>
      </c>
      <c r="D278" s="1320" t="s">
        <v>500</v>
      </c>
      <c r="E278" s="1312"/>
      <c r="F278" s="1312"/>
      <c r="I278" s="490"/>
    </row>
    <row r="279" spans="1:9">
      <c r="D279" s="1312"/>
      <c r="E279" s="1312"/>
      <c r="F279" s="1312"/>
      <c r="I279" s="490"/>
    </row>
    <row r="280" spans="1:9">
      <c r="D280" s="1312"/>
      <c r="E280" s="1312"/>
      <c r="F280" s="1312"/>
      <c r="I280" s="490"/>
    </row>
    <row r="281" spans="1:9">
      <c r="D281" s="492"/>
      <c r="E281" s="446"/>
      <c r="F281" s="446"/>
      <c r="I281" s="490"/>
    </row>
    <row r="282" spans="1:9">
      <c r="A282" s="1331" t="s">
        <v>501</v>
      </c>
      <c r="B282" s="1263"/>
      <c r="C282" s="1263"/>
      <c r="D282" s="1263"/>
      <c r="E282" s="1263"/>
      <c r="F282" s="1263"/>
      <c r="G282" s="1263"/>
      <c r="H282" s="1023"/>
      <c r="I282" s="1145"/>
    </row>
    <row r="283" spans="1:9">
      <c r="D283" s="492"/>
      <c r="E283" s="446"/>
      <c r="F283" s="446"/>
      <c r="I283" s="490"/>
    </row>
    <row r="284" spans="1:9">
      <c r="C284" s="482"/>
      <c r="D284" s="1341" t="s">
        <v>502</v>
      </c>
      <c r="E284" s="1312"/>
      <c r="F284" s="1312"/>
      <c r="I284" s="490"/>
    </row>
    <row r="285" spans="1:9">
      <c r="C285" s="482"/>
      <c r="D285" s="1312"/>
      <c r="E285" s="1312"/>
      <c r="F285" s="1312"/>
      <c r="I285" s="490"/>
    </row>
    <row r="286" spans="1:9">
      <c r="A286" s="483"/>
      <c r="B286" s="483"/>
      <c r="C286" s="483"/>
      <c r="D286" s="404"/>
      <c r="I286" s="490"/>
    </row>
    <row r="287" spans="1:9">
      <c r="C287" s="483"/>
      <c r="D287" s="1321" t="s">
        <v>503</v>
      </c>
      <c r="E287" s="1312"/>
      <c r="F287" s="1312"/>
      <c r="I287" s="490"/>
    </row>
    <row r="288" spans="1:9" ht="15.75" customHeight="1">
      <c r="A288" s="484"/>
      <c r="B288" s="484"/>
      <c r="D288" s="1358" t="s">
        <v>504</v>
      </c>
      <c r="E288" s="1312"/>
      <c r="F288" s="1312"/>
      <c r="I288" s="490"/>
    </row>
    <row r="289" spans="1:9">
      <c r="E289" s="446"/>
      <c r="F289" s="446"/>
      <c r="I289" s="490"/>
    </row>
    <row r="290" spans="1:9" ht="14.4" customHeight="1">
      <c r="A290" s="484"/>
      <c r="B290" s="485" t="s">
        <v>2790</v>
      </c>
      <c r="D290" s="1320" t="s">
        <v>505</v>
      </c>
      <c r="E290" s="1312"/>
      <c r="F290" s="1312"/>
      <c r="I290" s="490"/>
    </row>
    <row r="291" spans="1:9" ht="14.4" customHeight="1">
      <c r="A291" s="484"/>
      <c r="B291" s="484"/>
      <c r="D291" s="1312"/>
      <c r="E291" s="1312"/>
      <c r="F291" s="1312"/>
      <c r="I291" s="490"/>
    </row>
    <row r="292" spans="1:9">
      <c r="D292" s="446"/>
      <c r="E292" s="446"/>
      <c r="F292" s="446"/>
      <c r="I292" s="490"/>
    </row>
    <row r="293" spans="1:9" ht="14.4" customHeight="1">
      <c r="A293" s="484"/>
      <c r="B293" s="485" t="s">
        <v>2790</v>
      </c>
      <c r="D293" s="1320" t="s">
        <v>506</v>
      </c>
      <c r="E293" s="1312"/>
      <c r="F293" s="1312"/>
      <c r="I293" s="490"/>
    </row>
    <row r="294" spans="1:9" ht="14.4" customHeight="1">
      <c r="A294" s="484"/>
      <c r="B294" s="484"/>
      <c r="D294" s="1312"/>
      <c r="E294" s="1312"/>
      <c r="F294" s="1312"/>
      <c r="I294" s="490"/>
    </row>
    <row r="295" spans="1:9" ht="14.4" customHeight="1">
      <c r="A295" s="484"/>
      <c r="B295" s="484"/>
      <c r="D295" s="1312"/>
      <c r="E295" s="1312"/>
      <c r="F295" s="1312"/>
      <c r="I295" s="490"/>
    </row>
    <row r="296" spans="1:9">
      <c r="D296" s="446"/>
      <c r="E296" s="446"/>
      <c r="F296" s="446"/>
      <c r="I296" s="490"/>
    </row>
    <row r="297" spans="1:9" ht="14.4" customHeight="1">
      <c r="A297" s="484"/>
      <c r="B297" s="485" t="s">
        <v>427</v>
      </c>
      <c r="D297" s="1320" t="s">
        <v>507</v>
      </c>
      <c r="E297" s="1312"/>
      <c r="F297" s="1312"/>
      <c r="I297" s="490"/>
    </row>
    <row r="298" spans="1:9" ht="14.4" customHeight="1">
      <c r="A298" s="484"/>
      <c r="B298" s="484"/>
      <c r="D298" s="1312"/>
      <c r="E298" s="1312"/>
      <c r="F298" s="1312"/>
      <c r="I298" s="490"/>
    </row>
    <row r="299" spans="1:9">
      <c r="A299" s="490"/>
      <c r="B299" s="490"/>
      <c r="E299" s="446"/>
      <c r="F299" s="446"/>
      <c r="I299" s="490"/>
    </row>
    <row r="300" spans="1:9">
      <c r="A300" s="1331" t="s">
        <v>508</v>
      </c>
      <c r="B300" s="1263"/>
      <c r="C300" s="1263"/>
      <c r="D300" s="1263"/>
      <c r="E300" s="1263"/>
      <c r="F300" s="1263"/>
      <c r="G300" s="1263"/>
      <c r="H300" s="1023"/>
      <c r="I300" s="1145"/>
    </row>
    <row r="301" spans="1:9">
      <c r="A301" s="490"/>
      <c r="B301" s="490"/>
      <c r="D301" s="446"/>
      <c r="E301" s="446"/>
      <c r="F301" s="446"/>
      <c r="I301" s="490"/>
    </row>
    <row r="302" spans="1:9">
      <c r="C302" s="490"/>
      <c r="D302" s="1321" t="s">
        <v>509</v>
      </c>
      <c r="E302" s="1312"/>
      <c r="F302" s="1312"/>
      <c r="I302" s="490"/>
    </row>
    <row r="303" spans="1:9">
      <c r="C303" s="490"/>
      <c r="D303" s="1319" t="s">
        <v>510</v>
      </c>
      <c r="E303" s="1312"/>
      <c r="F303" s="1312"/>
      <c r="I303" s="490"/>
    </row>
    <row r="304" spans="1:9">
      <c r="C304" s="490"/>
      <c r="D304" s="493"/>
      <c r="I304" s="490"/>
    </row>
    <row r="305" spans="1:9">
      <c r="B305" s="485" t="s">
        <v>2790</v>
      </c>
      <c r="D305" s="1319" t="s">
        <v>511</v>
      </c>
      <c r="E305" s="1312"/>
      <c r="F305" s="1312"/>
      <c r="I305" s="490"/>
    </row>
    <row r="306" spans="1:9" ht="14.4" customHeight="1">
      <c r="A306" s="484"/>
      <c r="B306" s="484"/>
      <c r="D306" s="494"/>
      <c r="E306" s="495"/>
      <c r="F306" s="495"/>
      <c r="I306" s="490"/>
    </row>
    <row r="307" spans="1:9" ht="13.65" customHeight="1">
      <c r="B307" s="485" t="s">
        <v>427</v>
      </c>
      <c r="D307" s="1357" t="s">
        <v>512</v>
      </c>
      <c r="E307" s="1293"/>
      <c r="F307" s="1293"/>
      <c r="I307" s="490"/>
    </row>
    <row r="308" spans="1:9" ht="14.4" customHeight="1">
      <c r="A308" s="484"/>
      <c r="B308" s="484"/>
      <c r="D308" s="1293"/>
      <c r="E308" s="1293"/>
      <c r="F308" s="1293"/>
      <c r="I308" s="490"/>
    </row>
    <row r="309" spans="1:9" ht="14.4" customHeight="1">
      <c r="A309" s="484"/>
      <c r="B309" s="484"/>
      <c r="D309" s="1293"/>
      <c r="E309" s="1293"/>
      <c r="F309" s="1293"/>
      <c r="I309" s="490"/>
    </row>
    <row r="310" spans="1:9" ht="14.4" customHeight="1">
      <c r="A310" s="484"/>
      <c r="B310" s="484"/>
      <c r="D310" s="1293"/>
      <c r="E310" s="1293"/>
      <c r="F310" s="1293"/>
      <c r="I310" s="490"/>
    </row>
    <row r="311" spans="1:9" ht="14.4" customHeight="1">
      <c r="A311" s="484"/>
      <c r="B311" s="484"/>
      <c r="D311" s="1293"/>
      <c r="E311" s="1293"/>
      <c r="F311" s="1293"/>
      <c r="I311" s="490"/>
    </row>
    <row r="312" spans="1:9" ht="14.4" customHeight="1">
      <c r="A312" s="484"/>
      <c r="B312" s="484"/>
      <c r="D312" s="494"/>
      <c r="E312" s="495"/>
      <c r="F312" s="495"/>
      <c r="I312" s="490"/>
    </row>
    <row r="313" spans="1:9" ht="13.65" customHeight="1">
      <c r="B313" s="485" t="s">
        <v>2790</v>
      </c>
      <c r="D313" s="1357" t="s">
        <v>513</v>
      </c>
      <c r="E313" s="1293"/>
      <c r="F313" s="1293"/>
      <c r="I313" s="490"/>
    </row>
    <row r="314" spans="1:9">
      <c r="D314" s="1293"/>
      <c r="E314" s="1293"/>
      <c r="F314" s="1293"/>
      <c r="I314" s="490"/>
    </row>
    <row r="315" spans="1:9" ht="14.4" customHeight="1">
      <c r="A315" s="484"/>
      <c r="B315" s="484"/>
      <c r="D315" s="494"/>
      <c r="E315" s="495"/>
      <c r="F315" s="495"/>
      <c r="I315" s="490"/>
    </row>
    <row r="316" spans="1:9">
      <c r="B316" s="485" t="s">
        <v>2790</v>
      </c>
      <c r="D316" s="1319" t="s">
        <v>514</v>
      </c>
      <c r="E316" s="1312"/>
      <c r="F316" s="1312"/>
      <c r="I316" s="490"/>
    </row>
    <row r="317" spans="1:9">
      <c r="E317" s="446"/>
      <c r="F317" s="446"/>
      <c r="I317" s="490"/>
    </row>
    <row r="318" spans="1:9" ht="14.4" customHeight="1">
      <c r="A318" s="484"/>
      <c r="B318" s="485" t="s">
        <v>2790</v>
      </c>
      <c r="D318" s="1320" t="s">
        <v>515</v>
      </c>
      <c r="E318" s="1312"/>
      <c r="F318" s="1312"/>
      <c r="I318" s="490"/>
    </row>
    <row r="319" spans="1:9" ht="14.4" customHeight="1">
      <c r="A319" s="484"/>
      <c r="B319" s="484"/>
      <c r="D319" s="1312"/>
      <c r="E319" s="1312"/>
      <c r="F319" s="1312"/>
      <c r="I319" s="490"/>
    </row>
    <row r="320" spans="1:9" ht="14.4" customHeight="1">
      <c r="A320" s="484"/>
      <c r="B320" s="484"/>
      <c r="D320" s="1312"/>
      <c r="E320" s="1312"/>
      <c r="F320" s="1312"/>
      <c r="I320" s="490"/>
    </row>
    <row r="321" spans="1:9" ht="14.4" customHeight="1">
      <c r="A321" s="484"/>
      <c r="B321" s="484"/>
      <c r="D321" s="1312"/>
      <c r="E321" s="1312"/>
      <c r="F321" s="1312"/>
      <c r="I321" s="490"/>
    </row>
    <row r="322" spans="1:9" ht="14.4" customHeight="1">
      <c r="A322" s="484"/>
      <c r="B322" s="484"/>
      <c r="D322" s="1312"/>
      <c r="E322" s="1312"/>
      <c r="F322" s="1312"/>
      <c r="I322" s="490"/>
    </row>
    <row r="323" spans="1:9" ht="14.4" customHeight="1">
      <c r="A323" s="484"/>
      <c r="B323" s="484"/>
      <c r="D323" s="1312"/>
      <c r="E323" s="1312"/>
      <c r="F323" s="1312"/>
      <c r="I323" s="490"/>
    </row>
    <row r="324" spans="1:9" ht="14.4" customHeight="1">
      <c r="A324" s="484"/>
      <c r="B324" s="484"/>
      <c r="D324" s="1312"/>
      <c r="E324" s="1312"/>
      <c r="F324" s="1312"/>
      <c r="I324" s="490"/>
    </row>
    <row r="325" spans="1:9" ht="14.4" customHeight="1">
      <c r="A325" s="484"/>
      <c r="B325" s="484"/>
      <c r="D325" s="1312"/>
      <c r="E325" s="1312"/>
      <c r="F325" s="1312"/>
      <c r="I325" s="490"/>
    </row>
    <row r="326" spans="1:9" ht="14.4" customHeight="1">
      <c r="A326" s="484"/>
      <c r="B326" s="484"/>
      <c r="D326" s="1312"/>
      <c r="E326" s="1312"/>
      <c r="F326" s="1312"/>
      <c r="I326" s="490"/>
    </row>
    <row r="327" spans="1:9" ht="14.4" customHeight="1">
      <c r="A327" s="484"/>
      <c r="B327" s="484"/>
      <c r="D327" s="1312"/>
      <c r="E327" s="1312"/>
      <c r="F327" s="1312"/>
      <c r="I327" s="490"/>
    </row>
    <row r="328" spans="1:9" ht="14.4" customHeight="1">
      <c r="A328" s="484"/>
      <c r="B328" s="484"/>
      <c r="D328" s="1312"/>
      <c r="E328" s="1312"/>
      <c r="F328" s="1312"/>
      <c r="I328" s="490"/>
    </row>
    <row r="329" spans="1:9" ht="14.4" customHeight="1">
      <c r="A329" s="484"/>
      <c r="B329" s="484"/>
      <c r="D329" s="1312"/>
      <c r="E329" s="1312"/>
      <c r="F329" s="1312"/>
      <c r="I329" s="490"/>
    </row>
    <row r="330" spans="1:9" ht="14.4" customHeight="1">
      <c r="A330" s="484"/>
      <c r="B330" s="484"/>
      <c r="D330" s="1312"/>
      <c r="E330" s="1312"/>
      <c r="F330" s="1312"/>
      <c r="I330" s="490"/>
    </row>
    <row r="331" spans="1:9" ht="14.4" customHeight="1">
      <c r="A331" s="484"/>
      <c r="B331" s="484"/>
      <c r="D331" s="1312"/>
      <c r="E331" s="1312"/>
      <c r="F331" s="1312"/>
      <c r="I331" s="490"/>
    </row>
    <row r="332" spans="1:9" ht="14.4" customHeight="1">
      <c r="A332" s="484"/>
      <c r="B332" s="484"/>
      <c r="D332" s="1312"/>
      <c r="E332" s="1312"/>
      <c r="F332" s="1312"/>
      <c r="I332" s="490"/>
    </row>
    <row r="333" spans="1:9">
      <c r="D333" s="446"/>
      <c r="E333" s="446"/>
      <c r="F333" s="446"/>
      <c r="I333" s="490"/>
    </row>
    <row r="334" spans="1:9" ht="14.4" customHeight="1">
      <c r="A334" s="484"/>
      <c r="B334" s="485" t="s">
        <v>427</v>
      </c>
      <c r="D334" s="1320" t="s">
        <v>516</v>
      </c>
      <c r="E334" s="1312"/>
      <c r="F334" s="1312"/>
      <c r="I334" s="490"/>
    </row>
    <row r="335" spans="1:9">
      <c r="D335" s="1312"/>
      <c r="E335" s="1312"/>
      <c r="F335" s="1312"/>
      <c r="I335" s="490"/>
    </row>
    <row r="336" spans="1:9">
      <c r="D336" s="1312"/>
      <c r="E336" s="1312"/>
      <c r="F336" s="1312"/>
      <c r="I336" s="490"/>
    </row>
    <row r="337" spans="1:9">
      <c r="D337" s="1312"/>
      <c r="E337" s="1312"/>
      <c r="F337" s="1312"/>
      <c r="I337" s="490"/>
    </row>
    <row r="338" spans="1:9">
      <c r="D338" s="1312"/>
      <c r="E338" s="1312"/>
      <c r="F338" s="1312"/>
      <c r="I338" s="490"/>
    </row>
    <row r="339" spans="1:9">
      <c r="D339" s="1312"/>
      <c r="E339" s="1312"/>
      <c r="F339" s="1312"/>
      <c r="I339" s="490"/>
    </row>
    <row r="340" spans="1:9">
      <c r="D340" s="1312"/>
      <c r="E340" s="1312"/>
      <c r="F340" s="1312"/>
      <c r="I340" s="490"/>
    </row>
    <row r="341" spans="1:9">
      <c r="D341" s="1312"/>
      <c r="E341" s="1312"/>
      <c r="F341" s="1312"/>
      <c r="I341" s="490"/>
    </row>
    <row r="342" spans="1:9">
      <c r="D342" s="1312"/>
      <c r="E342" s="1312"/>
      <c r="F342" s="1312"/>
      <c r="I342" s="490"/>
    </row>
    <row r="343" spans="1:9">
      <c r="D343" s="446"/>
      <c r="E343" s="446"/>
      <c r="F343" s="446"/>
      <c r="I343" s="490"/>
    </row>
    <row r="344" spans="1:9" ht="14.25" customHeight="1">
      <c r="A344" s="484"/>
      <c r="B344" s="485" t="s">
        <v>2790</v>
      </c>
      <c r="D344" s="1320" t="s">
        <v>517</v>
      </c>
      <c r="E344" s="1312"/>
      <c r="F344" s="1312"/>
      <c r="I344" s="490"/>
    </row>
    <row r="345" spans="1:9">
      <c r="D345" s="1312"/>
      <c r="E345" s="1312"/>
      <c r="F345" s="1312"/>
      <c r="I345" s="490"/>
    </row>
    <row r="346" spans="1:9">
      <c r="D346" s="1312"/>
      <c r="E346" s="1312"/>
      <c r="F346" s="1312"/>
      <c r="I346" s="490"/>
    </row>
    <row r="347" spans="1:9">
      <c r="D347" s="1312"/>
      <c r="E347" s="1312"/>
      <c r="F347" s="1312"/>
      <c r="I347" s="490"/>
    </row>
    <row r="348" spans="1:9">
      <c r="D348" s="386" t="s">
        <v>468</v>
      </c>
      <c r="E348" s="385"/>
      <c r="F348" s="385"/>
      <c r="I348" s="490"/>
    </row>
    <row r="349" spans="1:9">
      <c r="D349" s="385"/>
      <c r="E349" s="96" t="s">
        <v>518</v>
      </c>
      <c r="G349" s="96"/>
      <c r="I349" s="490"/>
    </row>
    <row r="350" spans="1:9">
      <c r="D350" s="445"/>
      <c r="E350" s="445"/>
      <c r="F350" s="445"/>
      <c r="I350" s="490"/>
    </row>
    <row r="351" spans="1:9" ht="13.8" customHeight="1" thickBot="1">
      <c r="A351" s="1017"/>
      <c r="B351" s="1017"/>
      <c r="C351" s="1017"/>
      <c r="D351" s="1324" t="s">
        <v>519</v>
      </c>
      <c r="E351" s="1305"/>
      <c r="F351" s="1305"/>
      <c r="G351" s="1022"/>
      <c r="H351" s="1022"/>
      <c r="I351" s="1148"/>
    </row>
    <row r="352" spans="1:9" ht="13.8" customHeight="1" thickTop="1">
      <c r="D352" s="1370" t="s">
        <v>520</v>
      </c>
      <c r="E352" s="1371"/>
      <c r="F352" s="1371"/>
      <c r="I352" s="490"/>
    </row>
    <row r="353" spans="1:9">
      <c r="D353" s="446"/>
      <c r="E353" s="446"/>
      <c r="F353" s="446"/>
      <c r="I353" s="490"/>
    </row>
    <row r="354" spans="1:9">
      <c r="A354" s="476"/>
      <c r="B354" s="476"/>
      <c r="C354" s="476"/>
      <c r="D354" s="447"/>
      <c r="E354" s="447"/>
      <c r="F354" s="446"/>
      <c r="I354" s="490"/>
    </row>
    <row r="355" spans="1:9" ht="14.4" customHeight="1">
      <c r="A355" s="484"/>
      <c r="B355" s="485" t="s">
        <v>2790</v>
      </c>
      <c r="C355" s="487"/>
      <c r="D355" s="1319" t="s">
        <v>521</v>
      </c>
      <c r="E355" s="1312"/>
      <c r="F355" s="1312"/>
      <c r="I355" s="490"/>
    </row>
    <row r="356" spans="1:9" ht="12.75" customHeight="1">
      <c r="D356" s="100"/>
      <c r="E356" s="96" t="s">
        <v>522</v>
      </c>
      <c r="F356" s="100"/>
      <c r="I356" s="490"/>
    </row>
    <row r="357" spans="1:9">
      <c r="D357" s="1320" t="s">
        <v>523</v>
      </c>
      <c r="E357" s="1312"/>
      <c r="F357" s="1312"/>
      <c r="I357" s="490"/>
    </row>
    <row r="358" spans="1:9">
      <c r="D358" s="1312"/>
      <c r="E358" s="1312"/>
      <c r="F358" s="1312"/>
      <c r="I358" s="490"/>
    </row>
    <row r="359" spans="1:9">
      <c r="D359" s="1312"/>
      <c r="E359" s="1312"/>
      <c r="F359" s="1312"/>
      <c r="I359" s="490"/>
    </row>
    <row r="360" spans="1:9" ht="14.4" customHeight="1">
      <c r="A360" s="484"/>
      <c r="B360" s="485" t="s">
        <v>2790</v>
      </c>
      <c r="C360" s="476"/>
      <c r="D360" s="1330" t="s">
        <v>524</v>
      </c>
      <c r="E360" s="1312"/>
      <c r="F360" s="1312"/>
      <c r="I360" s="480"/>
    </row>
    <row r="361" spans="1:9">
      <c r="A361" s="476"/>
      <c r="B361" s="476"/>
      <c r="C361" s="476"/>
      <c r="D361" s="447"/>
      <c r="E361" s="447"/>
      <c r="F361" s="446"/>
      <c r="I361" s="490"/>
    </row>
    <row r="362" spans="1:9">
      <c r="A362" s="476"/>
      <c r="B362" s="485" t="s">
        <v>2790</v>
      </c>
      <c r="C362" s="476"/>
      <c r="D362" s="1310" t="s">
        <v>525</v>
      </c>
      <c r="E362" s="1312"/>
      <c r="F362" s="1312"/>
      <c r="I362" s="490"/>
    </row>
    <row r="363" spans="1:9">
      <c r="A363" s="476"/>
      <c r="B363" s="476"/>
      <c r="C363" s="476"/>
      <c r="D363" s="1312"/>
      <c r="E363" s="1312"/>
      <c r="F363" s="1312"/>
      <c r="I363" s="490"/>
    </row>
    <row r="364" spans="1:9">
      <c r="A364" s="476"/>
      <c r="B364" s="476"/>
      <c r="C364" s="476"/>
      <c r="D364" s="1312"/>
      <c r="E364" s="1312"/>
      <c r="F364" s="1312"/>
      <c r="I364" s="490"/>
    </row>
    <row r="365" spans="1:9">
      <c r="A365" s="476"/>
      <c r="B365" s="476"/>
      <c r="C365" s="476"/>
      <c r="D365" s="1312"/>
      <c r="E365" s="1312"/>
      <c r="F365" s="1312"/>
      <c r="I365" s="490"/>
    </row>
    <row r="366" spans="1:9">
      <c r="A366" s="476"/>
      <c r="B366" s="476"/>
      <c r="C366" s="476"/>
      <c r="D366" s="1312"/>
      <c r="E366" s="1312"/>
      <c r="F366" s="1312"/>
      <c r="I366" s="490"/>
    </row>
    <row r="367" spans="1:9">
      <c r="A367" s="476"/>
      <c r="B367" s="476"/>
      <c r="C367" s="476"/>
      <c r="D367" s="1312"/>
      <c r="E367" s="1312"/>
      <c r="F367" s="1312"/>
      <c r="I367" s="490"/>
    </row>
    <row r="368" spans="1:9">
      <c r="A368" s="476"/>
      <c r="B368" s="476"/>
      <c r="C368" s="476"/>
      <c r="D368" s="1312"/>
      <c r="E368" s="1312"/>
      <c r="F368" s="1312"/>
      <c r="I368" s="490"/>
    </row>
    <row r="369" spans="1:9">
      <c r="A369" s="476"/>
      <c r="B369" s="476"/>
      <c r="C369" s="476"/>
      <c r="D369" s="1312"/>
      <c r="E369" s="1312"/>
      <c r="F369" s="1312"/>
      <c r="I369" s="490"/>
    </row>
    <row r="370" spans="1:9">
      <c r="A370" s="476"/>
      <c r="B370" s="476"/>
      <c r="C370" s="476"/>
      <c r="D370" s="1312"/>
      <c r="E370" s="1312"/>
      <c r="F370" s="1312"/>
      <c r="I370" s="490"/>
    </row>
    <row r="371" spans="1:9">
      <c r="A371" s="476"/>
      <c r="B371" s="476"/>
      <c r="C371" s="476"/>
      <c r="D371" s="1312"/>
      <c r="E371" s="1312"/>
      <c r="F371" s="1312"/>
      <c r="I371" s="490"/>
    </row>
    <row r="372" spans="1:9">
      <c r="A372" s="476"/>
      <c r="B372" s="476"/>
      <c r="C372" s="476"/>
      <c r="D372" s="1312"/>
      <c r="E372" s="1312"/>
      <c r="F372" s="1312"/>
      <c r="I372" s="490"/>
    </row>
    <row r="373" spans="1:9">
      <c r="A373" s="476"/>
      <c r="B373" s="476"/>
      <c r="C373" s="476"/>
      <c r="D373" s="1312"/>
      <c r="E373" s="1312"/>
      <c r="F373" s="1312"/>
      <c r="I373" s="490"/>
    </row>
    <row r="374" spans="1:9">
      <c r="A374" s="476"/>
      <c r="B374" s="476"/>
      <c r="C374" s="476"/>
      <c r="D374" s="451"/>
      <c r="E374" s="451"/>
      <c r="F374" s="451"/>
      <c r="I374" s="490"/>
    </row>
    <row r="375" spans="1:9" ht="12.45" customHeight="1">
      <c r="A375" s="476"/>
      <c r="B375" s="485" t="s">
        <v>2790</v>
      </c>
      <c r="C375" s="476"/>
      <c r="D375" s="1317" t="s">
        <v>526</v>
      </c>
      <c r="E375" s="1312"/>
      <c r="F375" s="1312"/>
      <c r="I375" s="490"/>
    </row>
    <row r="376" spans="1:9">
      <c r="A376" s="476"/>
      <c r="B376" s="476"/>
      <c r="C376" s="476"/>
      <c r="D376" s="1312"/>
      <c r="E376" s="1312"/>
      <c r="F376" s="1312"/>
      <c r="I376" s="490"/>
    </row>
    <row r="377" spans="1:9">
      <c r="A377" s="476"/>
      <c r="B377" s="476"/>
      <c r="C377" s="476"/>
      <c r="D377" s="1312"/>
      <c r="E377" s="1312"/>
      <c r="F377" s="1312"/>
      <c r="I377" s="490"/>
    </row>
    <row r="378" spans="1:9">
      <c r="A378" s="476"/>
      <c r="B378" s="476"/>
      <c r="C378" s="476"/>
      <c r="D378" s="1312"/>
      <c r="E378" s="1312"/>
      <c r="F378" s="1312"/>
      <c r="I378" s="490"/>
    </row>
    <row r="379" spans="1:9">
      <c r="A379" s="476"/>
      <c r="B379" s="476"/>
      <c r="C379" s="476"/>
      <c r="D379" s="524"/>
      <c r="E379" s="524"/>
      <c r="F379" s="524"/>
      <c r="I379" s="490"/>
    </row>
    <row r="380" spans="1:9">
      <c r="A380" s="476"/>
      <c r="B380" s="485" t="s">
        <v>427</v>
      </c>
      <c r="C380" s="476"/>
      <c r="D380" s="402" t="s">
        <v>527</v>
      </c>
      <c r="E380" s="524"/>
      <c r="F380" s="524"/>
      <c r="I380" s="490"/>
    </row>
    <row r="381" spans="1:9">
      <c r="A381" s="476"/>
      <c r="B381" s="476"/>
      <c r="C381" s="476"/>
      <c r="D381" s="402" t="s">
        <v>528</v>
      </c>
      <c r="E381" s="524"/>
      <c r="F381" s="524"/>
      <c r="I381" s="490"/>
    </row>
    <row r="382" spans="1:9">
      <c r="A382" s="476"/>
      <c r="B382" s="476"/>
      <c r="C382" s="476"/>
      <c r="D382" s="402" t="s">
        <v>529</v>
      </c>
      <c r="E382" s="524"/>
      <c r="F382" s="524"/>
      <c r="I382" s="490"/>
    </row>
    <row r="383" spans="1:9">
      <c r="A383" s="476"/>
      <c r="B383" s="476"/>
      <c r="C383" s="476"/>
      <c r="D383" s="402" t="s">
        <v>530</v>
      </c>
      <c r="E383" s="524"/>
      <c r="F383" s="524"/>
      <c r="I383" s="490"/>
    </row>
    <row r="384" spans="1:9">
      <c r="A384" s="476"/>
      <c r="B384" s="476"/>
      <c r="C384" s="476"/>
      <c r="D384" s="402" t="s">
        <v>531</v>
      </c>
      <c r="E384" s="524"/>
      <c r="F384" s="524"/>
      <c r="I384" s="490"/>
    </row>
    <row r="385" spans="1:9">
      <c r="A385" s="476"/>
      <c r="B385" s="476"/>
      <c r="C385" s="476"/>
      <c r="D385" s="402" t="s">
        <v>532</v>
      </c>
      <c r="E385" s="524"/>
      <c r="F385" s="524"/>
      <c r="I385" s="490"/>
    </row>
    <row r="386" spans="1:9">
      <c r="A386" s="476"/>
      <c r="B386" s="476"/>
      <c r="C386" s="476"/>
      <c r="E386" s="447"/>
      <c r="F386" s="446"/>
      <c r="I386" s="490"/>
    </row>
    <row r="387" spans="1:9" ht="14.4" customHeight="1">
      <c r="A387" s="484"/>
      <c r="B387" s="485" t="s">
        <v>427</v>
      </c>
      <c r="C387" s="476"/>
      <c r="D387" s="1310" t="s">
        <v>533</v>
      </c>
      <c r="E387" s="1312"/>
      <c r="F387" s="1312"/>
      <c r="I387" s="490"/>
    </row>
    <row r="388" spans="1:9">
      <c r="A388" s="476"/>
      <c r="B388" s="476"/>
      <c r="C388" s="476"/>
      <c r="D388" s="1312"/>
      <c r="E388" s="1312"/>
      <c r="F388" s="1312"/>
      <c r="I388" s="490"/>
    </row>
    <row r="389" spans="1:9">
      <c r="A389" s="476"/>
      <c r="B389" s="476"/>
      <c r="C389" s="476"/>
      <c r="D389" s="1312"/>
      <c r="E389" s="1312"/>
      <c r="F389" s="1312"/>
      <c r="I389" s="490"/>
    </row>
    <row r="390" spans="1:9">
      <c r="A390" s="476"/>
      <c r="B390" s="476"/>
      <c r="C390" s="476"/>
      <c r="D390" s="1312"/>
      <c r="E390" s="1312"/>
      <c r="F390" s="1312"/>
      <c r="I390" s="490"/>
    </row>
    <row r="391" spans="1:9">
      <c r="A391" s="476"/>
      <c r="B391" s="476"/>
      <c r="C391" s="476"/>
      <c r="D391" s="447"/>
      <c r="E391" s="447"/>
      <c r="F391" s="446"/>
      <c r="I391" s="490"/>
    </row>
    <row r="392" spans="1:9">
      <c r="A392" s="476"/>
      <c r="B392" s="476"/>
      <c r="C392" s="476"/>
      <c r="D392" s="1310" t="s">
        <v>534</v>
      </c>
      <c r="E392" s="1312"/>
      <c r="F392" s="1312"/>
      <c r="I392" s="490"/>
    </row>
    <row r="393" spans="1:9">
      <c r="A393" s="476"/>
      <c r="B393" s="476"/>
      <c r="C393" s="476"/>
      <c r="D393" s="1312"/>
      <c r="E393" s="1312"/>
      <c r="F393" s="1312"/>
      <c r="I393" s="490"/>
    </row>
    <row r="394" spans="1:9">
      <c r="A394" s="476"/>
      <c r="B394" s="476"/>
      <c r="C394" s="476"/>
      <c r="D394" s="1312"/>
      <c r="E394" s="1312"/>
      <c r="F394" s="1312"/>
      <c r="I394" s="490"/>
    </row>
    <row r="395" spans="1:9">
      <c r="A395" s="476"/>
      <c r="B395" s="476"/>
      <c r="C395" s="476"/>
      <c r="D395" s="1312"/>
      <c r="E395" s="1312"/>
      <c r="F395" s="1312"/>
      <c r="I395" s="490"/>
    </row>
    <row r="396" spans="1:9" ht="18" customHeight="1">
      <c r="A396" s="476"/>
      <c r="B396" s="476"/>
      <c r="C396" s="476"/>
      <c r="D396" s="1312"/>
      <c r="E396" s="1312"/>
      <c r="F396" s="1312"/>
      <c r="I396" s="490"/>
    </row>
    <row r="397" spans="1:9">
      <c r="A397" s="476"/>
      <c r="B397" s="476"/>
      <c r="C397" s="476"/>
      <c r="D397" s="1312"/>
      <c r="E397" s="1312"/>
      <c r="F397" s="1312"/>
      <c r="I397" s="490"/>
    </row>
    <row r="398" spans="1:9">
      <c r="A398" s="476"/>
      <c r="B398" s="476"/>
      <c r="C398" s="476"/>
      <c r="D398" s="1312"/>
      <c r="E398" s="1312"/>
      <c r="F398" s="1312"/>
      <c r="I398" s="490"/>
    </row>
    <row r="399" spans="1:9">
      <c r="A399" s="476"/>
      <c r="B399" s="476"/>
      <c r="C399" s="476"/>
      <c r="D399" s="1312"/>
      <c r="E399" s="1312"/>
      <c r="F399" s="1312"/>
      <c r="I399" s="490"/>
    </row>
    <row r="400" spans="1:9" ht="8.25" customHeight="1">
      <c r="A400" s="476"/>
      <c r="B400" s="476"/>
      <c r="C400" s="476"/>
      <c r="D400" s="1312"/>
      <c r="E400" s="1312"/>
      <c r="F400" s="1312"/>
      <c r="I400" s="490"/>
    </row>
    <row r="401" spans="1:9" ht="13.65" customHeight="1">
      <c r="A401" s="476"/>
      <c r="B401" s="476"/>
      <c r="C401" s="476"/>
      <c r="D401" s="1310" t="s">
        <v>535</v>
      </c>
      <c r="E401" s="1312"/>
      <c r="F401" s="1312"/>
      <c r="I401" s="490"/>
    </row>
    <row r="402" spans="1:9">
      <c r="A402" s="476"/>
      <c r="B402" s="476"/>
      <c r="C402" s="476"/>
      <c r="D402" s="1312"/>
      <c r="E402" s="1312"/>
      <c r="F402" s="1312"/>
      <c r="I402" s="490"/>
    </row>
    <row r="403" spans="1:9">
      <c r="A403" s="476"/>
      <c r="B403" s="476"/>
      <c r="C403" s="476"/>
      <c r="D403" s="1312"/>
      <c r="E403" s="1312"/>
      <c r="F403" s="1312"/>
      <c r="I403" s="490"/>
    </row>
    <row r="404" spans="1:9">
      <c r="A404" s="476"/>
      <c r="B404" s="476"/>
      <c r="C404" s="476"/>
      <c r="D404" s="1312"/>
      <c r="E404" s="1312"/>
      <c r="F404" s="1312"/>
      <c r="I404" s="490"/>
    </row>
    <row r="405" spans="1:9">
      <c r="A405" s="476"/>
      <c r="B405" s="476"/>
      <c r="C405" s="476"/>
      <c r="D405" s="1312"/>
      <c r="E405" s="1312"/>
      <c r="F405" s="1312"/>
      <c r="I405" s="490"/>
    </row>
    <row r="406" spans="1:9">
      <c r="A406" s="476"/>
      <c r="B406" s="476"/>
      <c r="C406" s="476"/>
      <c r="D406" s="1312"/>
      <c r="E406" s="1312"/>
      <c r="F406" s="1312"/>
      <c r="I406" s="490"/>
    </row>
    <row r="407" spans="1:9">
      <c r="A407" s="476"/>
      <c r="B407" s="476"/>
      <c r="C407" s="476"/>
      <c r="D407" s="1312"/>
      <c r="E407" s="1312"/>
      <c r="F407" s="1312"/>
      <c r="I407" s="490"/>
    </row>
    <row r="408" spans="1:9">
      <c r="A408" s="476"/>
      <c r="B408" s="476"/>
      <c r="C408" s="476"/>
      <c r="D408" s="1312"/>
      <c r="E408" s="1312"/>
      <c r="F408" s="1312"/>
      <c r="I408" s="490"/>
    </row>
    <row r="409" spans="1:9">
      <c r="A409" s="476"/>
      <c r="B409" s="476"/>
      <c r="C409" s="476"/>
      <c r="D409" s="1312"/>
      <c r="E409" s="1312"/>
      <c r="F409" s="1312"/>
      <c r="I409" s="490"/>
    </row>
    <row r="410" spans="1:9">
      <c r="A410" s="476"/>
      <c r="B410" s="476"/>
      <c r="C410" s="476"/>
      <c r="D410" s="1312"/>
      <c r="E410" s="1312"/>
      <c r="F410" s="1312"/>
      <c r="I410" s="490"/>
    </row>
    <row r="411" spans="1:9">
      <c r="A411" s="476"/>
      <c r="B411" s="476"/>
      <c r="C411" s="476"/>
      <c r="D411" s="1312"/>
      <c r="E411" s="1312"/>
      <c r="F411" s="1312"/>
      <c r="I411" s="490"/>
    </row>
    <row r="412" spans="1:9">
      <c r="A412" s="476"/>
      <c r="B412" s="476"/>
      <c r="C412" s="476"/>
      <c r="D412" s="1312"/>
      <c r="E412" s="1312"/>
      <c r="F412" s="1312"/>
      <c r="I412" s="490"/>
    </row>
    <row r="413" spans="1:9">
      <c r="A413" s="476"/>
      <c r="B413" s="476"/>
      <c r="C413" s="496"/>
      <c r="D413" s="1312"/>
      <c r="E413" s="1312"/>
      <c r="F413" s="1312"/>
      <c r="I413" s="490"/>
    </row>
    <row r="414" spans="1:9">
      <c r="A414" s="476"/>
      <c r="B414" s="476"/>
      <c r="C414" s="496"/>
      <c r="D414" s="1312"/>
      <c r="E414" s="1312"/>
      <c r="F414" s="1312"/>
      <c r="I414" s="490"/>
    </row>
    <row r="415" spans="1:9">
      <c r="A415" s="476"/>
      <c r="B415" s="476"/>
      <c r="C415" s="476"/>
      <c r="D415" s="1312"/>
      <c r="E415" s="1312"/>
      <c r="F415" s="1312"/>
      <c r="I415" s="490"/>
    </row>
    <row r="416" spans="1:9">
      <c r="A416" s="476"/>
      <c r="B416" s="476"/>
      <c r="C416" s="496"/>
      <c r="D416" s="1312"/>
      <c r="E416" s="1312"/>
      <c r="F416" s="1312"/>
      <c r="I416" s="490"/>
    </row>
    <row r="417" spans="1:9">
      <c r="A417" s="476"/>
      <c r="B417" s="476"/>
      <c r="C417" s="496"/>
      <c r="D417" s="1312"/>
      <c r="E417" s="1312"/>
      <c r="F417" s="1312"/>
      <c r="I417" s="490"/>
    </row>
    <row r="418" spans="1:9">
      <c r="A418" s="476"/>
      <c r="B418" s="476"/>
      <c r="C418" s="496"/>
      <c r="D418" s="1312"/>
      <c r="E418" s="1312"/>
      <c r="F418" s="1312"/>
      <c r="I418" s="490"/>
    </row>
    <row r="419" spans="1:9">
      <c r="A419" s="476"/>
      <c r="B419" s="476"/>
      <c r="C419" s="476"/>
      <c r="D419" s="447"/>
      <c r="E419" s="447"/>
      <c r="F419" s="446"/>
      <c r="I419" s="490"/>
    </row>
    <row r="420" spans="1:9">
      <c r="A420" s="476"/>
      <c r="B420" s="485" t="s">
        <v>2790</v>
      </c>
      <c r="C420" s="476"/>
      <c r="D420" s="1310" t="s">
        <v>536</v>
      </c>
      <c r="E420" s="1312"/>
      <c r="F420" s="1312"/>
      <c r="I420" s="490"/>
    </row>
    <row r="421" spans="1:9">
      <c r="A421" s="476"/>
      <c r="B421" s="476"/>
      <c r="C421" s="476"/>
      <c r="D421" s="1312"/>
      <c r="E421" s="1312"/>
      <c r="F421" s="1312"/>
      <c r="I421" s="490"/>
    </row>
    <row r="422" spans="1:9">
      <c r="A422" s="476"/>
      <c r="B422" s="476"/>
      <c r="C422" s="476"/>
      <c r="D422" s="451"/>
      <c r="E422" s="451"/>
      <c r="F422" s="451"/>
      <c r="I422" s="490"/>
    </row>
    <row r="423" spans="1:9" ht="14.4" customHeight="1">
      <c r="A423" s="484"/>
      <c r="B423" s="485" t="s">
        <v>2790</v>
      </c>
      <c r="D423" s="1310" t="s">
        <v>537</v>
      </c>
      <c r="E423" s="1312"/>
      <c r="F423" s="1312"/>
      <c r="I423" s="490"/>
    </row>
    <row r="424" spans="1:9" ht="14.4" customHeight="1">
      <c r="A424" s="484"/>
      <c r="D424" s="1312"/>
      <c r="E424" s="1312"/>
      <c r="F424" s="1312"/>
      <c r="I424" s="490"/>
    </row>
    <row r="425" spans="1:9" ht="14.4" customHeight="1">
      <c r="A425" s="484"/>
      <c r="D425" s="1312"/>
      <c r="E425" s="1312"/>
      <c r="F425" s="1312"/>
      <c r="I425" s="490"/>
    </row>
    <row r="426" spans="1:9" ht="14.4" customHeight="1">
      <c r="A426" s="484"/>
      <c r="D426" s="1312"/>
      <c r="E426" s="1312"/>
      <c r="F426" s="1312"/>
      <c r="I426" s="490"/>
    </row>
    <row r="427" spans="1:9" ht="14.4" customHeight="1">
      <c r="A427" s="484"/>
      <c r="D427" s="1312"/>
      <c r="E427" s="1312"/>
      <c r="F427" s="1312"/>
      <c r="I427" s="490"/>
    </row>
    <row r="428" spans="1:9" ht="14.4" customHeight="1">
      <c r="A428" s="484"/>
      <c r="D428" s="385"/>
      <c r="E428" s="385"/>
      <c r="F428" s="385"/>
      <c r="I428" s="490"/>
    </row>
    <row r="429" spans="1:9" ht="13.65" customHeight="1">
      <c r="A429" s="484"/>
      <c r="B429" s="485" t="s">
        <v>2790</v>
      </c>
      <c r="C429" s="476"/>
      <c r="D429" s="1310" t="s">
        <v>538</v>
      </c>
      <c r="E429" s="1312"/>
      <c r="F429" s="1312"/>
      <c r="I429" s="490"/>
    </row>
    <row r="430" spans="1:9" ht="14.4" customHeight="1">
      <c r="A430" s="497"/>
      <c r="B430" s="497"/>
      <c r="C430" s="476"/>
      <c r="D430" s="1312"/>
      <c r="E430" s="1312"/>
      <c r="F430" s="1312"/>
      <c r="I430" s="490"/>
    </row>
    <row r="431" spans="1:9" ht="14.4" customHeight="1">
      <c r="A431" s="497"/>
      <c r="B431" s="497"/>
      <c r="C431" s="476"/>
      <c r="D431" s="1312"/>
      <c r="E431" s="1312"/>
      <c r="F431" s="1312"/>
      <c r="I431" s="490"/>
    </row>
    <row r="432" spans="1:9" ht="14.4" customHeight="1">
      <c r="A432" s="497"/>
      <c r="B432" s="497"/>
      <c r="C432" s="476"/>
      <c r="D432" s="1312"/>
      <c r="E432" s="1312"/>
      <c r="F432" s="1312"/>
      <c r="I432" s="490"/>
    </row>
    <row r="433" spans="1:9" ht="15.75" customHeight="1">
      <c r="A433" s="497"/>
      <c r="B433" s="497"/>
      <c r="C433" s="476"/>
      <c r="D433" s="1344" t="s">
        <v>539</v>
      </c>
      <c r="E433" s="1312"/>
      <c r="F433" s="1312"/>
      <c r="I433" s="490"/>
    </row>
    <row r="434" spans="1:9">
      <c r="D434" s="446"/>
      <c r="E434" s="446"/>
      <c r="F434" s="446"/>
      <c r="I434" s="490"/>
    </row>
    <row r="435" spans="1:9" ht="14.4" customHeight="1">
      <c r="A435" s="484"/>
      <c r="B435" s="485" t="s">
        <v>427</v>
      </c>
      <c r="C435" s="487"/>
      <c r="D435" s="1320" t="s">
        <v>540</v>
      </c>
      <c r="E435" s="1312"/>
      <c r="F435" s="1312"/>
      <c r="I435" s="490"/>
    </row>
    <row r="436" spans="1:9" ht="14.4" customHeight="1">
      <c r="A436" s="484"/>
      <c r="B436" s="484"/>
      <c r="D436" s="1312"/>
      <c r="E436" s="1312"/>
      <c r="F436" s="1312"/>
      <c r="I436" s="490"/>
    </row>
    <row r="437" spans="1:9">
      <c r="D437" s="1312"/>
      <c r="E437" s="1312"/>
      <c r="F437" s="1312"/>
      <c r="I437" s="490"/>
    </row>
    <row r="438" spans="1:9">
      <c r="D438" s="1312"/>
      <c r="E438" s="1312"/>
      <c r="F438" s="1312"/>
      <c r="I438" s="490"/>
    </row>
    <row r="439" spans="1:9">
      <c r="D439" s="1312"/>
      <c r="E439" s="1312"/>
      <c r="F439" s="1312"/>
      <c r="I439" s="490"/>
    </row>
    <row r="440" spans="1:9">
      <c r="D440" s="1312"/>
      <c r="E440" s="1312"/>
      <c r="F440" s="1312"/>
      <c r="I440" s="490"/>
    </row>
    <row r="441" spans="1:9">
      <c r="D441" s="1312"/>
      <c r="E441" s="1312"/>
      <c r="F441" s="1312"/>
      <c r="I441" s="490"/>
    </row>
    <row r="442" spans="1:9">
      <c r="D442" s="1312"/>
      <c r="E442" s="1312"/>
      <c r="F442" s="1312"/>
      <c r="I442" s="490"/>
    </row>
    <row r="443" spans="1:9">
      <c r="D443" s="1312"/>
      <c r="E443" s="1312"/>
      <c r="F443" s="1312"/>
      <c r="I443" s="490"/>
    </row>
    <row r="444" spans="1:9">
      <c r="D444" s="1312"/>
      <c r="E444" s="1312"/>
      <c r="F444" s="1312"/>
      <c r="I444" s="490"/>
    </row>
    <row r="445" spans="1:9">
      <c r="D445" s="1312"/>
      <c r="E445" s="1312"/>
      <c r="F445" s="1312"/>
      <c r="I445" s="490"/>
    </row>
    <row r="446" spans="1:9">
      <c r="D446" s="1312"/>
      <c r="E446" s="1312"/>
      <c r="F446" s="1312"/>
      <c r="I446" s="490"/>
    </row>
    <row r="447" spans="1:9">
      <c r="D447" s="1312"/>
      <c r="E447" s="1312"/>
      <c r="F447" s="1312"/>
      <c r="I447" s="490"/>
    </row>
    <row r="448" spans="1:9">
      <c r="A448" s="402"/>
      <c r="B448" s="402"/>
      <c r="C448" s="402"/>
      <c r="D448" s="1312"/>
      <c r="E448" s="1312"/>
      <c r="F448" s="1312"/>
      <c r="I448" s="490"/>
    </row>
    <row r="449" spans="1:9">
      <c r="A449" s="402"/>
      <c r="B449" s="402"/>
      <c r="C449" s="402"/>
      <c r="D449" s="1312"/>
      <c r="E449" s="1312"/>
      <c r="F449" s="1312"/>
      <c r="I449" s="490"/>
    </row>
    <row r="450" spans="1:9">
      <c r="A450" s="402"/>
      <c r="B450" s="402"/>
      <c r="C450" s="402"/>
      <c r="D450" s="1312"/>
      <c r="E450" s="1312"/>
      <c r="F450" s="1312"/>
      <c r="I450" s="490"/>
    </row>
    <row r="451" spans="1:9">
      <c r="A451" s="402"/>
      <c r="B451" s="402"/>
      <c r="C451" s="402"/>
      <c r="D451" s="1312"/>
      <c r="E451" s="1312"/>
      <c r="F451" s="1312"/>
      <c r="I451" s="490"/>
    </row>
    <row r="452" spans="1:9">
      <c r="A452" s="402"/>
      <c r="B452" s="402"/>
      <c r="C452" s="402"/>
      <c r="D452" s="1312"/>
      <c r="E452" s="1312"/>
      <c r="F452" s="1312"/>
      <c r="I452" s="490"/>
    </row>
    <row r="453" spans="1:9">
      <c r="A453" s="402"/>
      <c r="B453" s="402"/>
      <c r="C453" s="402"/>
      <c r="D453" s="1312"/>
      <c r="E453" s="1312"/>
      <c r="F453" s="1312"/>
      <c r="I453" s="490"/>
    </row>
    <row r="454" spans="1:9">
      <c r="A454" s="402"/>
      <c r="B454" s="402"/>
      <c r="C454" s="402"/>
      <c r="D454" s="1312"/>
      <c r="E454" s="1312"/>
      <c r="F454" s="1312"/>
      <c r="I454" s="490"/>
    </row>
    <row r="455" spans="1:9">
      <c r="A455" s="402"/>
      <c r="B455" s="402"/>
      <c r="C455" s="402"/>
      <c r="D455" s="1312"/>
      <c r="E455" s="1312"/>
      <c r="F455" s="1312"/>
      <c r="I455" s="490"/>
    </row>
    <row r="456" spans="1:9">
      <c r="A456" s="402"/>
      <c r="B456" s="402"/>
      <c r="C456" s="402"/>
      <c r="D456" s="1312"/>
      <c r="E456" s="1312"/>
      <c r="F456" s="1312"/>
      <c r="I456" s="490"/>
    </row>
    <row r="457" spans="1:9">
      <c r="A457" s="402"/>
      <c r="B457" s="402"/>
      <c r="C457" s="402"/>
      <c r="D457" s="1312"/>
      <c r="E457" s="1312"/>
      <c r="F457" s="1312"/>
      <c r="I457" s="490"/>
    </row>
    <row r="458" spans="1:9">
      <c r="A458" s="402"/>
      <c r="B458" s="402"/>
      <c r="C458" s="402"/>
      <c r="D458" s="1312"/>
      <c r="E458" s="1312"/>
      <c r="F458" s="1312"/>
      <c r="I458" s="490"/>
    </row>
    <row r="459" spans="1:9">
      <c r="A459" s="402"/>
      <c r="B459" s="402"/>
      <c r="C459" s="402"/>
      <c r="D459" s="1312"/>
      <c r="E459" s="1312"/>
      <c r="F459" s="1312"/>
      <c r="I459" s="490"/>
    </row>
    <row r="460" spans="1:9">
      <c r="A460" s="402"/>
      <c r="B460" s="402"/>
      <c r="C460" s="402"/>
      <c r="D460" s="1312"/>
      <c r="E460" s="1312"/>
      <c r="F460" s="1312"/>
      <c r="I460" s="490"/>
    </row>
    <row r="461" spans="1:9">
      <c r="A461" s="402"/>
      <c r="B461" s="402"/>
      <c r="C461" s="402"/>
      <c r="D461" s="1312"/>
      <c r="E461" s="1312"/>
      <c r="F461" s="1312"/>
      <c r="I461" s="490"/>
    </row>
    <row r="462" spans="1:9">
      <c r="A462" s="402"/>
      <c r="B462" s="402"/>
      <c r="C462" s="402"/>
      <c r="D462" s="1312"/>
      <c r="E462" s="1312"/>
      <c r="F462" s="1312"/>
      <c r="I462" s="490"/>
    </row>
    <row r="463" spans="1:9">
      <c r="A463" s="402"/>
      <c r="B463" s="402"/>
      <c r="C463" s="402"/>
      <c r="D463" s="1312"/>
      <c r="E463" s="1312"/>
      <c r="F463" s="1312"/>
      <c r="I463" s="490"/>
    </row>
    <row r="464" spans="1:9">
      <c r="D464" s="1312"/>
      <c r="E464" s="1312"/>
      <c r="F464" s="1312"/>
      <c r="I464" s="490"/>
    </row>
    <row r="465" spans="1:9" ht="40.65" customHeight="1">
      <c r="D465" s="1312"/>
      <c r="E465" s="1312"/>
      <c r="F465" s="1312"/>
      <c r="I465" s="490"/>
    </row>
    <row r="466" spans="1:9">
      <c r="D466" s="446"/>
      <c r="E466" s="446"/>
      <c r="F466" s="446"/>
      <c r="I466" s="490"/>
    </row>
    <row r="467" spans="1:9" ht="14.4" customHeight="1">
      <c r="A467" s="484"/>
      <c r="B467" s="485" t="s">
        <v>427</v>
      </c>
      <c r="C467" s="487"/>
      <c r="D467" s="1320" t="s">
        <v>541</v>
      </c>
      <c r="E467" s="1312"/>
      <c r="F467" s="1312"/>
      <c r="I467" s="490"/>
    </row>
    <row r="468" spans="1:9">
      <c r="D468" s="1312"/>
      <c r="E468" s="1312"/>
      <c r="F468" s="1312"/>
      <c r="I468" s="490"/>
    </row>
    <row r="469" spans="1:9">
      <c r="D469" s="1312"/>
      <c r="E469" s="1312"/>
      <c r="F469" s="1312"/>
      <c r="I469" s="490"/>
    </row>
    <row r="470" spans="1:9">
      <c r="D470" s="445"/>
      <c r="E470" s="445"/>
      <c r="F470" s="445"/>
      <c r="I470" s="490"/>
    </row>
    <row r="471" spans="1:9" ht="14.4" customHeight="1">
      <c r="B471" s="485" t="s">
        <v>427</v>
      </c>
      <c r="C471" s="484"/>
      <c r="D471" s="1320" t="s">
        <v>542</v>
      </c>
      <c r="E471" s="1312"/>
      <c r="F471" s="1312"/>
      <c r="I471" s="490"/>
    </row>
    <row r="472" spans="1:9">
      <c r="D472" s="1312"/>
      <c r="E472" s="1312"/>
      <c r="F472" s="1312"/>
      <c r="I472" s="490"/>
    </row>
    <row r="473" spans="1:9">
      <c r="D473" s="446"/>
      <c r="E473" s="446"/>
      <c r="F473" s="446"/>
      <c r="I473" s="490"/>
    </row>
    <row r="474" spans="1:9" ht="14.4" customHeight="1">
      <c r="B474" s="485" t="s">
        <v>427</v>
      </c>
      <c r="C474" s="484"/>
      <c r="D474" s="1320" t="s">
        <v>543</v>
      </c>
      <c r="E474" s="1312"/>
      <c r="F474" s="1312"/>
      <c r="I474" s="490"/>
    </row>
    <row r="475" spans="1:9">
      <c r="D475" s="1312"/>
      <c r="E475" s="1312"/>
      <c r="F475" s="1312"/>
      <c r="I475" s="490"/>
    </row>
    <row r="476" spans="1:9">
      <c r="D476" s="1312"/>
      <c r="E476" s="1312"/>
      <c r="F476" s="1312"/>
      <c r="I476" s="490"/>
    </row>
    <row r="477" spans="1:9">
      <c r="D477" s="1312"/>
      <c r="E477" s="1312"/>
      <c r="F477" s="1312"/>
      <c r="I477" s="490"/>
    </row>
    <row r="478" spans="1:9">
      <c r="B478" s="485" t="s">
        <v>427</v>
      </c>
      <c r="D478" s="1312"/>
      <c r="E478" s="1312"/>
      <c r="F478" s="1312"/>
      <c r="I478" s="490"/>
    </row>
    <row r="479" spans="1:9">
      <c r="A479" s="402"/>
      <c r="B479" s="402"/>
      <c r="C479" s="402"/>
      <c r="D479" s="1312"/>
      <c r="E479" s="1312"/>
      <c r="F479" s="1312"/>
      <c r="I479" s="490"/>
    </row>
    <row r="480" spans="1:9">
      <c r="A480" s="402"/>
      <c r="C480" s="402"/>
      <c r="D480" s="1312"/>
      <c r="E480" s="1312"/>
      <c r="F480" s="1312"/>
      <c r="I480" s="490"/>
    </row>
    <row r="481" spans="1:9">
      <c r="A481" s="402"/>
      <c r="B481" s="485" t="s">
        <v>427</v>
      </c>
      <c r="C481" s="402"/>
      <c r="D481" s="1312"/>
      <c r="E481" s="1312"/>
      <c r="F481" s="1312"/>
      <c r="I481" s="490"/>
    </row>
    <row r="482" spans="1:9">
      <c r="A482" s="402"/>
      <c r="B482" s="402"/>
      <c r="C482" s="402"/>
      <c r="D482" s="1312"/>
      <c r="E482" s="1312"/>
      <c r="F482" s="1312"/>
      <c r="I482" s="490"/>
    </row>
    <row r="483" spans="1:9">
      <c r="A483" s="402"/>
      <c r="C483" s="402"/>
      <c r="D483" s="1312"/>
      <c r="E483" s="1312"/>
      <c r="F483" s="1312"/>
      <c r="I483" s="490"/>
    </row>
    <row r="484" spans="1:9">
      <c r="A484" s="402"/>
      <c r="C484" s="402"/>
      <c r="D484" s="1312"/>
      <c r="E484" s="1312"/>
      <c r="F484" s="1312"/>
      <c r="I484" s="490"/>
    </row>
    <row r="485" spans="1:9">
      <c r="A485" s="402"/>
      <c r="C485" s="402"/>
      <c r="D485" s="1312"/>
      <c r="E485" s="1312"/>
      <c r="F485" s="1312"/>
      <c r="I485" s="490"/>
    </row>
    <row r="486" spans="1:9">
      <c r="A486" s="402"/>
      <c r="B486" s="485" t="s">
        <v>427</v>
      </c>
      <c r="C486" s="402"/>
      <c r="D486" s="1312"/>
      <c r="E486" s="1312"/>
      <c r="F486" s="1312"/>
      <c r="I486" s="490"/>
    </row>
    <row r="487" spans="1:9">
      <c r="A487" s="402"/>
      <c r="C487" s="402"/>
      <c r="D487" s="1312"/>
      <c r="E487" s="1312"/>
      <c r="F487" s="1312"/>
      <c r="I487" s="490"/>
    </row>
    <row r="488" spans="1:9">
      <c r="A488" s="402"/>
      <c r="B488" s="485" t="s">
        <v>427</v>
      </c>
      <c r="C488" s="402"/>
      <c r="D488" s="1320" t="s">
        <v>544</v>
      </c>
      <c r="E488" s="1312"/>
      <c r="F488" s="1312"/>
      <c r="I488" s="490"/>
    </row>
    <row r="489" spans="1:9">
      <c r="A489" s="402"/>
      <c r="B489" s="402"/>
      <c r="C489" s="402"/>
      <c r="D489" s="1312"/>
      <c r="E489" s="1312"/>
      <c r="F489" s="1312"/>
      <c r="I489" s="490"/>
    </row>
    <row r="490" spans="1:9">
      <c r="A490" s="402"/>
      <c r="B490" s="402"/>
      <c r="C490" s="402"/>
      <c r="D490" s="1312"/>
      <c r="E490" s="1312"/>
      <c r="F490" s="1312"/>
      <c r="I490" s="490"/>
    </row>
    <row r="491" spans="1:9">
      <c r="A491" s="402"/>
      <c r="B491" s="402"/>
      <c r="C491" s="402"/>
      <c r="D491" s="1312"/>
      <c r="E491" s="1312"/>
      <c r="F491" s="1312"/>
      <c r="I491" s="490"/>
    </row>
    <row r="492" spans="1:9">
      <c r="D492" s="1312"/>
      <c r="E492" s="1312"/>
      <c r="F492" s="1312"/>
      <c r="I492" s="490"/>
    </row>
    <row r="493" spans="1:9">
      <c r="D493" s="446"/>
      <c r="E493" s="446"/>
      <c r="F493" s="446"/>
      <c r="I493" s="490"/>
    </row>
    <row r="494" spans="1:9">
      <c r="B494" s="485" t="s">
        <v>2790</v>
      </c>
      <c r="D494" s="1319" t="s">
        <v>545</v>
      </c>
      <c r="E494" s="1312"/>
      <c r="F494" s="1312"/>
      <c r="I494" s="490"/>
    </row>
    <row r="495" spans="1:9">
      <c r="A495" s="446"/>
      <c r="B495" s="446"/>
      <c r="I495" s="490"/>
    </row>
    <row r="496" spans="1:9">
      <c r="A496" s="1331" t="s">
        <v>546</v>
      </c>
      <c r="B496" s="1263"/>
      <c r="C496" s="1263"/>
      <c r="D496" s="1263"/>
      <c r="E496" s="1263"/>
      <c r="F496" s="1263"/>
      <c r="G496" s="1263"/>
      <c r="H496" s="1023"/>
      <c r="I496" s="1145"/>
    </row>
    <row r="497" spans="1:9">
      <c r="A497" s="446"/>
      <c r="B497" s="446"/>
      <c r="I497" s="490"/>
    </row>
    <row r="498" spans="1:9">
      <c r="D498" s="1337" t="s">
        <v>547</v>
      </c>
      <c r="E498" s="1312"/>
      <c r="F498" s="1312"/>
      <c r="I498" s="490"/>
    </row>
    <row r="499" spans="1:9" ht="14.4" customHeight="1">
      <c r="A499" s="484"/>
      <c r="B499" s="484"/>
      <c r="D499" s="1330" t="s">
        <v>548</v>
      </c>
      <c r="E499" s="1312"/>
      <c r="F499" s="1312"/>
      <c r="I499" s="490"/>
    </row>
    <row r="500" spans="1:9" ht="14.4" customHeight="1">
      <c r="A500" s="484"/>
      <c r="B500" s="484"/>
      <c r="D500" s="447"/>
      <c r="I500" s="490"/>
    </row>
    <row r="501" spans="1:9" ht="14.4" customHeight="1">
      <c r="A501" s="484"/>
      <c r="B501" s="485" t="s">
        <v>2790</v>
      </c>
      <c r="D501" s="1310" t="s">
        <v>549</v>
      </c>
      <c r="E501" s="1312"/>
      <c r="F501" s="1312"/>
      <c r="I501" s="490"/>
    </row>
    <row r="502" spans="1:9" ht="14.4" customHeight="1">
      <c r="A502" s="484"/>
      <c r="B502" s="484"/>
      <c r="D502" s="1312"/>
      <c r="E502" s="1312"/>
      <c r="F502" s="1312"/>
      <c r="I502" s="490"/>
    </row>
    <row r="503" spans="1:9" ht="14.4" customHeight="1">
      <c r="A503" s="484"/>
      <c r="B503" s="484"/>
      <c r="D503" s="446"/>
      <c r="I503" s="490"/>
    </row>
    <row r="504" spans="1:9" ht="12.75" customHeight="1">
      <c r="B504" s="485" t="s">
        <v>2790</v>
      </c>
      <c r="D504" s="1322" t="s">
        <v>550</v>
      </c>
      <c r="E504" s="1312"/>
      <c r="F504" s="1312"/>
      <c r="I504" s="490"/>
    </row>
    <row r="505" spans="1:9" ht="14.4" customHeight="1">
      <c r="A505" s="484"/>
      <c r="D505" s="1312"/>
      <c r="E505" s="1312"/>
      <c r="F505" s="1312"/>
      <c r="I505" s="490"/>
    </row>
    <row r="506" spans="1:9" ht="14.4" customHeight="1">
      <c r="A506" s="484"/>
      <c r="B506" s="484"/>
      <c r="D506" s="1312"/>
      <c r="E506" s="1312"/>
      <c r="F506" s="1312"/>
      <c r="I506" s="490"/>
    </row>
    <row r="507" spans="1:9" ht="14.4" customHeight="1">
      <c r="A507" s="484"/>
      <c r="B507" s="484"/>
      <c r="D507" s="1312"/>
      <c r="E507" s="1312"/>
      <c r="F507" s="1312"/>
      <c r="I507" s="490"/>
    </row>
    <row r="508" spans="1:9" ht="14.4" customHeight="1">
      <c r="A508" s="484"/>
      <c r="D508" s="520"/>
      <c r="E508" s="520"/>
      <c r="F508" s="520"/>
      <c r="I508" s="490"/>
    </row>
    <row r="509" spans="1:9" ht="14.4" customHeight="1">
      <c r="A509" s="484"/>
      <c r="B509" s="485" t="s">
        <v>2790</v>
      </c>
      <c r="D509" s="1319" t="s">
        <v>551</v>
      </c>
      <c r="E509" s="1312"/>
      <c r="F509" s="1312"/>
      <c r="I509" s="490"/>
    </row>
    <row r="510" spans="1:9" ht="14.4" customHeight="1">
      <c r="A510" s="484"/>
      <c r="B510" s="484"/>
      <c r="D510" s="446"/>
      <c r="I510" s="490"/>
    </row>
    <row r="511" spans="1:9" ht="14.4" customHeight="1">
      <c r="A511" s="484"/>
      <c r="B511" s="485" t="s">
        <v>2790</v>
      </c>
      <c r="D511" s="1320" t="s">
        <v>552</v>
      </c>
      <c r="E511" s="1312"/>
      <c r="F511" s="1312"/>
      <c r="I511" s="490"/>
    </row>
    <row r="512" spans="1:9" ht="14.4" customHeight="1">
      <c r="A512" s="484"/>
      <c r="D512" s="1312"/>
      <c r="E512" s="1312"/>
      <c r="F512" s="1312"/>
      <c r="I512" s="490"/>
    </row>
    <row r="513" spans="1:9">
      <c r="A513" s="490"/>
      <c r="B513" s="490"/>
      <c r="D513" s="447"/>
      <c r="I513" s="490"/>
    </row>
    <row r="514" spans="1:9">
      <c r="A514" s="490"/>
      <c r="B514" s="485" t="s">
        <v>427</v>
      </c>
      <c r="D514" s="1319" t="s">
        <v>553</v>
      </c>
      <c r="E514" s="1312"/>
      <c r="F514" s="1312"/>
      <c r="I514" s="490"/>
    </row>
    <row r="515" spans="1:9">
      <c r="D515" s="446"/>
      <c r="E515" s="446"/>
      <c r="F515" s="446"/>
      <c r="I515" s="490"/>
    </row>
    <row r="516" spans="1:9">
      <c r="B516" s="485" t="s">
        <v>2790</v>
      </c>
      <c r="D516" s="1320" t="s">
        <v>554</v>
      </c>
      <c r="E516" s="1312"/>
      <c r="F516" s="1312"/>
      <c r="I516" s="490"/>
    </row>
    <row r="517" spans="1:9">
      <c r="D517" s="1312"/>
      <c r="E517" s="1312"/>
      <c r="F517" s="1312"/>
      <c r="I517" s="490"/>
    </row>
    <row r="518" spans="1:9">
      <c r="D518" s="1312"/>
      <c r="E518" s="1312"/>
      <c r="F518" s="1312"/>
      <c r="I518" s="490"/>
    </row>
    <row r="519" spans="1:9">
      <c r="D519" s="446"/>
      <c r="E519" s="446"/>
      <c r="F519" s="446"/>
      <c r="I519" s="490"/>
    </row>
    <row r="520" spans="1:9" ht="14.4" customHeight="1">
      <c r="A520" s="484"/>
      <c r="B520" s="484"/>
      <c r="D520" s="446"/>
      <c r="I520" s="490"/>
    </row>
    <row r="521" spans="1:9">
      <c r="A521" s="1331" t="s">
        <v>555</v>
      </c>
      <c r="B521" s="1263"/>
      <c r="C521" s="1263"/>
      <c r="D521" s="1263"/>
      <c r="E521" s="1263"/>
      <c r="F521" s="1263"/>
      <c r="G521" s="1263"/>
      <c r="H521" s="1023"/>
      <c r="I521" s="1145"/>
    </row>
    <row r="522" spans="1:9" ht="12" customHeight="1">
      <c r="A522" s="484"/>
      <c r="B522" s="484"/>
      <c r="D522" s="446"/>
      <c r="I522" s="490"/>
    </row>
    <row r="523" spans="1:9">
      <c r="C523" s="482"/>
      <c r="D523" s="1321" t="s">
        <v>556</v>
      </c>
      <c r="E523" s="1312"/>
      <c r="F523" s="1312"/>
      <c r="I523" s="490"/>
    </row>
    <row r="524" spans="1:9">
      <c r="C524" s="482"/>
      <c r="D524" s="506" t="s">
        <v>557</v>
      </c>
      <c r="E524" s="506"/>
      <c r="F524" s="506"/>
      <c r="I524" s="490"/>
    </row>
    <row r="525" spans="1:9">
      <c r="C525" s="482"/>
      <c r="D525" s="506" t="s">
        <v>558</v>
      </c>
      <c r="E525" s="506"/>
      <c r="F525" s="506"/>
      <c r="I525" s="490"/>
    </row>
    <row r="526" spans="1:9">
      <c r="C526" s="482"/>
      <c r="D526" s="481"/>
      <c r="E526" s="481"/>
      <c r="F526" s="481"/>
      <c r="I526" s="490"/>
    </row>
    <row r="527" spans="1:9" ht="13.65" customHeight="1">
      <c r="A527" s="483"/>
      <c r="B527" s="485" t="s">
        <v>2790</v>
      </c>
      <c r="C527" s="483"/>
      <c r="D527" s="1310" t="s">
        <v>559</v>
      </c>
      <c r="E527" s="1312"/>
      <c r="F527" s="1312"/>
      <c r="I527" s="490"/>
    </row>
    <row r="528" spans="1:9">
      <c r="A528" s="483"/>
      <c r="B528" s="483"/>
      <c r="C528" s="483"/>
      <c r="D528" s="1312"/>
      <c r="E528" s="1312"/>
      <c r="F528" s="1312"/>
      <c r="I528" s="490"/>
    </row>
    <row r="529" spans="1:9">
      <c r="A529" s="483"/>
      <c r="B529" s="483"/>
      <c r="C529" s="483"/>
      <c r="D529" s="451"/>
      <c r="E529" s="451"/>
      <c r="F529" s="451"/>
      <c r="I529" s="480"/>
    </row>
    <row r="530" spans="1:9" ht="12.75" customHeight="1">
      <c r="A530" s="483"/>
      <c r="B530" s="485" t="s">
        <v>2790</v>
      </c>
      <c r="D530" s="386" t="s">
        <v>560</v>
      </c>
      <c r="E530" s="385"/>
      <c r="F530" s="385"/>
      <c r="I530" s="490"/>
    </row>
    <row r="531" spans="1:9">
      <c r="A531" s="483"/>
      <c r="B531" s="483"/>
      <c r="C531" s="483"/>
      <c r="D531" s="385"/>
      <c r="E531" s="96" t="s">
        <v>561</v>
      </c>
      <c r="I531" s="490"/>
    </row>
    <row r="532" spans="1:9">
      <c r="A532" s="483"/>
      <c r="B532" s="483"/>
      <c r="D532" s="1317" t="s">
        <v>562</v>
      </c>
      <c r="E532" s="1312"/>
      <c r="F532" s="1312"/>
      <c r="I532" s="490"/>
    </row>
    <row r="533" spans="1:9">
      <c r="A533" s="483"/>
      <c r="B533" s="483"/>
      <c r="D533" s="1312"/>
      <c r="E533" s="1312"/>
      <c r="F533" s="1312"/>
      <c r="I533" s="490"/>
    </row>
    <row r="534" spans="1:9">
      <c r="A534" s="483"/>
      <c r="B534" s="483"/>
      <c r="C534" s="483"/>
      <c r="D534" s="1312"/>
      <c r="E534" s="1312"/>
      <c r="F534" s="1312"/>
      <c r="I534" s="490"/>
    </row>
    <row r="535" spans="1:9">
      <c r="A535" s="483"/>
      <c r="B535" s="483"/>
      <c r="C535" s="483"/>
      <c r="D535" s="498"/>
      <c r="F535" s="446"/>
      <c r="I535" s="490"/>
    </row>
    <row r="536" spans="1:9" ht="13.2" customHeight="1">
      <c r="A536" s="483"/>
      <c r="B536" s="485" t="s">
        <v>427</v>
      </c>
      <c r="C536" s="483"/>
      <c r="D536" s="1320" t="s">
        <v>563</v>
      </c>
      <c r="E536" s="1312"/>
      <c r="F536" s="1312"/>
      <c r="I536" s="490"/>
    </row>
    <row r="537" spans="1:9" ht="13.2" customHeight="1">
      <c r="A537" s="483"/>
      <c r="B537" s="483"/>
      <c r="C537" s="483"/>
      <c r="D537" s="1312"/>
      <c r="E537" s="1312"/>
      <c r="F537" s="1312"/>
      <c r="I537" s="490"/>
    </row>
    <row r="538" spans="1:9">
      <c r="A538" s="483"/>
      <c r="B538" s="483"/>
      <c r="C538" s="483"/>
      <c r="D538" s="1312"/>
      <c r="E538" s="1312"/>
      <c r="F538" s="1312"/>
      <c r="I538" s="490"/>
    </row>
    <row r="539" spans="1:9" ht="12" customHeight="1">
      <c r="A539" s="446"/>
      <c r="B539" s="446"/>
      <c r="C539" s="487"/>
      <c r="D539" s="446"/>
      <c r="F539" s="448"/>
      <c r="I539" s="490"/>
    </row>
    <row r="540" spans="1:9">
      <c r="A540" s="1331" t="s">
        <v>564</v>
      </c>
      <c r="B540" s="1263"/>
      <c r="C540" s="1263"/>
      <c r="D540" s="1263"/>
      <c r="E540" s="1263"/>
      <c r="F540" s="1263"/>
      <c r="G540" s="1263"/>
      <c r="H540" s="1023"/>
      <c r="I540" s="1145"/>
    </row>
    <row r="541" spans="1:9">
      <c r="A541" s="446"/>
      <c r="B541" s="446"/>
      <c r="C541" s="487"/>
      <c r="F541" s="448"/>
      <c r="I541" s="490"/>
    </row>
    <row r="542" spans="1:9">
      <c r="B542" s="1327" t="s">
        <v>462</v>
      </c>
      <c r="C542" s="1328"/>
      <c r="D542" s="1312"/>
      <c r="E542" s="1312"/>
      <c r="F542" s="1312"/>
      <c r="I542" s="490"/>
    </row>
    <row r="543" spans="1:9">
      <c r="A543" s="446"/>
      <c r="B543" s="446"/>
      <c r="C543" s="487"/>
      <c r="D543" s="446"/>
      <c r="F543" s="446"/>
      <c r="I543" s="490"/>
    </row>
    <row r="544" spans="1:9">
      <c r="A544" s="1350" t="s">
        <v>565</v>
      </c>
      <c r="B544" s="1263"/>
      <c r="C544" s="1263"/>
      <c r="D544" s="1263"/>
      <c r="E544" s="1263"/>
      <c r="F544" s="1263"/>
      <c r="G544" s="1263"/>
      <c r="H544" s="1023"/>
      <c r="I544" s="1145"/>
    </row>
    <row r="545" spans="1:9">
      <c r="A545" s="446"/>
      <c r="B545" s="446"/>
      <c r="C545" s="487"/>
      <c r="D545" s="446"/>
      <c r="F545" s="446"/>
      <c r="I545" s="490"/>
    </row>
    <row r="546" spans="1:9">
      <c r="C546" s="487"/>
      <c r="D546" s="1321" t="s">
        <v>566</v>
      </c>
      <c r="E546" s="1312"/>
      <c r="F546" s="1312"/>
      <c r="I546" s="490"/>
    </row>
    <row r="547" spans="1:9">
      <c r="C547" s="487"/>
      <c r="D547" s="1319" t="s">
        <v>567</v>
      </c>
      <c r="E547" s="1312"/>
      <c r="F547" s="1312"/>
      <c r="I547" s="490"/>
    </row>
    <row r="548" spans="1:9">
      <c r="C548" s="487"/>
      <c r="D548" s="446"/>
      <c r="E548" s="446"/>
      <c r="F548" s="446"/>
      <c r="I548" s="490"/>
    </row>
    <row r="549" spans="1:9" ht="13.65" customHeight="1">
      <c r="A549" s="484"/>
      <c r="B549" s="485" t="s">
        <v>2790</v>
      </c>
      <c r="C549" s="487"/>
      <c r="D549" s="1319" t="s">
        <v>568</v>
      </c>
      <c r="E549" s="1312"/>
      <c r="F549" s="1312"/>
      <c r="I549" s="490"/>
    </row>
    <row r="550" spans="1:9" ht="13.65" customHeight="1">
      <c r="A550" s="487"/>
      <c r="B550" s="487"/>
      <c r="C550" s="487"/>
      <c r="D550" s="446"/>
      <c r="I550" s="490"/>
    </row>
    <row r="551" spans="1:9" ht="14.4" customHeight="1">
      <c r="A551" s="484"/>
      <c r="B551" s="485" t="s">
        <v>2790</v>
      </c>
      <c r="C551" s="487"/>
      <c r="D551" s="1320" t="s">
        <v>569</v>
      </c>
      <c r="E551" s="1312"/>
      <c r="F551" s="1312"/>
      <c r="I551" s="490"/>
    </row>
    <row r="552" spans="1:9">
      <c r="A552" s="487"/>
      <c r="B552" s="487"/>
      <c r="C552" s="487"/>
      <c r="D552" s="1312"/>
      <c r="E552" s="1312"/>
      <c r="F552" s="1312"/>
      <c r="I552" s="490"/>
    </row>
    <row r="553" spans="1:9">
      <c r="A553" s="487"/>
      <c r="B553" s="487"/>
      <c r="C553" s="487"/>
      <c r="D553" s="446"/>
      <c r="E553" s="446"/>
      <c r="F553" s="446"/>
      <c r="I553" s="490"/>
    </row>
    <row r="554" spans="1:9" ht="14.4" customHeight="1">
      <c r="A554" s="484"/>
      <c r="B554" s="485" t="s">
        <v>2790</v>
      </c>
      <c r="C554" s="487"/>
      <c r="D554" s="1320" t="s">
        <v>570</v>
      </c>
      <c r="E554" s="1312"/>
      <c r="F554" s="1312"/>
      <c r="I554" s="490"/>
    </row>
    <row r="555" spans="1:9">
      <c r="A555" s="487"/>
      <c r="B555" s="487"/>
      <c r="C555" s="487"/>
      <c r="D555" s="1312"/>
      <c r="E555" s="1312"/>
      <c r="F555" s="1312"/>
      <c r="I555" s="490"/>
    </row>
    <row r="556" spans="1:9">
      <c r="A556" s="487"/>
      <c r="B556" s="487"/>
      <c r="C556" s="487"/>
      <c r="D556" s="446"/>
      <c r="E556" s="446"/>
      <c r="F556" s="446"/>
      <c r="I556" s="490"/>
    </row>
    <row r="557" spans="1:9" ht="14.4" customHeight="1">
      <c r="A557" s="484"/>
      <c r="B557" s="485" t="s">
        <v>2790</v>
      </c>
      <c r="C557" s="487"/>
      <c r="D557" s="1320" t="s">
        <v>571</v>
      </c>
      <c r="E557" s="1312"/>
      <c r="F557" s="1312"/>
      <c r="I557" s="490"/>
    </row>
    <row r="558" spans="1:9">
      <c r="A558" s="487"/>
      <c r="B558" s="487"/>
      <c r="C558" s="487"/>
      <c r="D558" s="1312"/>
      <c r="E558" s="1312"/>
      <c r="F558" s="1312"/>
      <c r="I558" s="490"/>
    </row>
    <row r="559" spans="1:9">
      <c r="A559" s="487"/>
      <c r="B559" s="487"/>
      <c r="C559" s="487"/>
      <c r="D559" s="446"/>
      <c r="E559" s="446"/>
      <c r="F559" s="446"/>
      <c r="I559" s="490"/>
    </row>
    <row r="560" spans="1:9" ht="14.4" customHeight="1">
      <c r="A560" s="484"/>
      <c r="B560" s="485" t="s">
        <v>2790</v>
      </c>
      <c r="C560" s="487"/>
      <c r="D560" s="1320" t="s">
        <v>572</v>
      </c>
      <c r="E560" s="1312"/>
      <c r="F560" s="1312"/>
      <c r="I560" s="490"/>
    </row>
    <row r="561" spans="1:9">
      <c r="A561" s="487"/>
      <c r="B561" s="487"/>
      <c r="C561" s="487"/>
      <c r="D561" s="1312"/>
      <c r="E561" s="1312"/>
      <c r="F561" s="1312"/>
      <c r="I561" s="490"/>
    </row>
    <row r="562" spans="1:9">
      <c r="A562" s="487"/>
      <c r="B562" s="487"/>
      <c r="C562" s="487"/>
      <c r="D562" s="1312"/>
      <c r="E562" s="1312"/>
      <c r="F562" s="1312"/>
      <c r="I562" s="490"/>
    </row>
    <row r="563" spans="1:9">
      <c r="A563" s="487"/>
      <c r="B563" s="487"/>
      <c r="C563" s="487"/>
      <c r="D563" s="446"/>
      <c r="E563" s="446"/>
      <c r="F563" s="446"/>
      <c r="I563" s="490"/>
    </row>
    <row r="564" spans="1:9" ht="14.4" customHeight="1">
      <c r="A564" s="484"/>
      <c r="B564" s="485" t="s">
        <v>2790</v>
      </c>
      <c r="C564" s="487"/>
      <c r="D564" s="1320" t="s">
        <v>573</v>
      </c>
      <c r="E564" s="1312"/>
      <c r="F564" s="1312"/>
      <c r="I564" s="490"/>
    </row>
    <row r="565" spans="1:9">
      <c r="A565" s="487"/>
      <c r="B565" s="487"/>
      <c r="C565" s="487"/>
      <c r="D565" s="1312"/>
      <c r="E565" s="1312"/>
      <c r="F565" s="1312"/>
      <c r="I565" s="490"/>
    </row>
    <row r="566" spans="1:9">
      <c r="A566" s="487"/>
      <c r="B566" s="487"/>
      <c r="C566" s="487"/>
      <c r="D566" s="446"/>
      <c r="E566" s="446"/>
      <c r="F566" s="446"/>
      <c r="I566" s="490"/>
    </row>
    <row r="567" spans="1:9" ht="14.4" customHeight="1">
      <c r="A567" s="484"/>
      <c r="B567" s="485" t="s">
        <v>427</v>
      </c>
      <c r="C567" s="487"/>
      <c r="D567" s="1320" t="s">
        <v>574</v>
      </c>
      <c r="E567" s="1312"/>
      <c r="F567" s="1312"/>
      <c r="I567" s="490"/>
    </row>
    <row r="568" spans="1:9">
      <c r="A568" s="487"/>
      <c r="B568" s="487"/>
      <c r="C568" s="487"/>
      <c r="D568" s="1312"/>
      <c r="E568" s="1312"/>
      <c r="F568" s="1312"/>
      <c r="I568" s="490"/>
    </row>
    <row r="569" spans="1:9">
      <c r="A569" s="487"/>
      <c r="B569" s="487"/>
      <c r="C569" s="487"/>
      <c r="D569" s="446"/>
      <c r="E569" s="446"/>
      <c r="F569" s="446"/>
      <c r="I569" s="490"/>
    </row>
    <row r="570" spans="1:9" ht="14.4" customHeight="1">
      <c r="A570" s="484"/>
      <c r="B570" s="485" t="s">
        <v>2790</v>
      </c>
      <c r="C570" s="487"/>
      <c r="D570" s="1319" t="s">
        <v>575</v>
      </c>
      <c r="E570" s="1312"/>
      <c r="F570" s="1312"/>
      <c r="I570" s="490"/>
    </row>
    <row r="571" spans="1:9">
      <c r="A571" s="490"/>
      <c r="B571" s="490"/>
      <c r="C571" s="487"/>
      <c r="D571" s="1319" t="s">
        <v>576</v>
      </c>
      <c r="E571" s="1312"/>
      <c r="F571" s="1312"/>
      <c r="I571" s="490"/>
    </row>
    <row r="572" spans="1:9">
      <c r="A572" s="490"/>
      <c r="B572" s="490"/>
      <c r="C572" s="487"/>
      <c r="E572" s="96" t="s">
        <v>577</v>
      </c>
      <c r="F572" s="404"/>
      <c r="I572" s="490"/>
    </row>
    <row r="573" spans="1:9" ht="14.4" customHeight="1">
      <c r="A573" s="484"/>
      <c r="B573" s="484"/>
      <c r="C573" s="487"/>
      <c r="E573" s="446"/>
      <c r="F573" s="446"/>
      <c r="I573" s="490"/>
    </row>
    <row r="574" spans="1:9" ht="14.4" customHeight="1">
      <c r="A574" s="484"/>
      <c r="B574" s="485" t="s">
        <v>2790</v>
      </c>
      <c r="C574" s="487"/>
      <c r="D574" s="1319" t="s">
        <v>578</v>
      </c>
      <c r="E574" s="1312"/>
      <c r="F574" s="1312"/>
      <c r="I574" s="490"/>
    </row>
    <row r="575" spans="1:9">
      <c r="C575" s="487"/>
      <c r="D575" s="1320" t="s">
        <v>579</v>
      </c>
      <c r="E575" s="1312"/>
      <c r="F575" s="1312"/>
      <c r="I575" s="490"/>
    </row>
    <row r="576" spans="1:9">
      <c r="A576" s="487"/>
      <c r="B576" s="487"/>
      <c r="C576" s="487"/>
      <c r="D576" s="1312"/>
      <c r="E576" s="1312"/>
      <c r="F576" s="1312"/>
      <c r="I576" s="490"/>
    </row>
    <row r="577" spans="1:9">
      <c r="A577" s="487"/>
      <c r="B577" s="487"/>
      <c r="C577" s="487"/>
      <c r="D577" s="1312"/>
      <c r="E577" s="1312"/>
      <c r="F577" s="1312"/>
      <c r="I577" s="490"/>
    </row>
    <row r="578" spans="1:9">
      <c r="A578" s="487"/>
      <c r="B578" s="487"/>
      <c r="C578" s="487"/>
      <c r="D578" s="446"/>
      <c r="E578" s="446"/>
      <c r="F578" s="446"/>
      <c r="I578" s="490"/>
    </row>
    <row r="579" spans="1:9" ht="14.4" customHeight="1">
      <c r="A579" s="484"/>
      <c r="B579" s="485" t="s">
        <v>2790</v>
      </c>
      <c r="C579" s="487"/>
      <c r="D579" s="1320" t="s">
        <v>580</v>
      </c>
      <c r="E579" s="1312"/>
      <c r="F579" s="1312"/>
      <c r="I579" s="490"/>
    </row>
    <row r="580" spans="1:9" ht="14.4" customHeight="1">
      <c r="A580" s="484"/>
      <c r="B580" s="484"/>
      <c r="C580" s="487"/>
      <c r="D580" s="1312"/>
      <c r="E580" s="1312"/>
      <c r="F580" s="1312"/>
      <c r="I580" s="490"/>
    </row>
    <row r="581" spans="1:9" ht="14.4" customHeight="1">
      <c r="A581" s="484"/>
      <c r="B581" s="484"/>
      <c r="C581" s="487"/>
      <c r="D581" s="1312"/>
      <c r="E581" s="1312"/>
      <c r="F581" s="1312"/>
      <c r="I581" s="490"/>
    </row>
    <row r="582" spans="1:9" ht="14.4" customHeight="1">
      <c r="A582" s="484"/>
      <c r="B582" s="484"/>
      <c r="C582" s="487"/>
      <c r="D582" s="1312"/>
      <c r="E582" s="1312"/>
      <c r="F582" s="1312"/>
      <c r="I582" s="490"/>
    </row>
    <row r="583" spans="1:9" ht="14.4" customHeight="1">
      <c r="A583" s="484"/>
      <c r="B583" s="484"/>
      <c r="C583" s="487"/>
      <c r="D583" s="446"/>
      <c r="E583" s="446"/>
      <c r="F583" s="446"/>
      <c r="I583" s="490"/>
    </row>
    <row r="584" spans="1:9">
      <c r="A584" s="1331" t="s">
        <v>581</v>
      </c>
      <c r="B584" s="1263"/>
      <c r="C584" s="1263"/>
      <c r="D584" s="1263"/>
      <c r="E584" s="1263"/>
      <c r="F584" s="1263"/>
      <c r="G584" s="1263"/>
      <c r="H584" s="1023"/>
      <c r="I584" s="1145"/>
    </row>
    <row r="585" spans="1:9">
      <c r="A585" s="487"/>
      <c r="B585" s="487"/>
      <c r="C585" s="487"/>
      <c r="E585" s="446"/>
      <c r="F585" s="446"/>
      <c r="I585" s="490"/>
    </row>
    <row r="586" spans="1:9" ht="12.75" customHeight="1">
      <c r="C586" s="482"/>
      <c r="D586" s="1341" t="s">
        <v>582</v>
      </c>
      <c r="E586" s="1312"/>
      <c r="F586" s="1312"/>
      <c r="I586" s="490"/>
    </row>
    <row r="587" spans="1:9">
      <c r="A587" s="483"/>
      <c r="B587" s="483"/>
      <c r="C587" s="483"/>
      <c r="D587" s="1322" t="s">
        <v>583</v>
      </c>
      <c r="E587" s="1312"/>
      <c r="F587" s="1312"/>
      <c r="I587" s="490"/>
    </row>
    <row r="588" spans="1:9">
      <c r="A588" s="402"/>
      <c r="B588" s="402"/>
      <c r="C588" s="483"/>
      <c r="D588" s="499"/>
      <c r="I588" s="490"/>
    </row>
    <row r="589" spans="1:9">
      <c r="A589" s="483"/>
      <c r="B589" s="485" t="s">
        <v>2790</v>
      </c>
      <c r="D589" s="1322" t="s">
        <v>584</v>
      </c>
      <c r="E589" s="1312"/>
      <c r="F589" s="1312"/>
      <c r="I589" s="490"/>
    </row>
    <row r="590" spans="1:9">
      <c r="A590" s="490"/>
      <c r="B590" s="490"/>
      <c r="D590" s="476"/>
      <c r="I590" s="490"/>
    </row>
    <row r="591" spans="1:9">
      <c r="A591" s="490"/>
      <c r="B591" s="485" t="s">
        <v>2790</v>
      </c>
      <c r="D591" s="1322" t="s">
        <v>585</v>
      </c>
      <c r="E591" s="1312"/>
      <c r="F591" s="1312"/>
      <c r="I591" s="490"/>
    </row>
    <row r="592" spans="1:9">
      <c r="A592" s="490"/>
      <c r="B592" s="490"/>
      <c r="D592" s="1312"/>
      <c r="E592" s="1312"/>
      <c r="F592" s="1312"/>
      <c r="I592" s="490"/>
    </row>
    <row r="593" spans="1:9">
      <c r="A593" s="490"/>
      <c r="B593" s="490"/>
      <c r="D593" s="1312"/>
      <c r="E593" s="1312"/>
      <c r="F593" s="1312"/>
      <c r="I593" s="490"/>
    </row>
    <row r="594" spans="1:9">
      <c r="A594" s="490"/>
      <c r="B594" s="490"/>
      <c r="D594" s="1312"/>
      <c r="E594" s="1312"/>
      <c r="F594" s="1312"/>
      <c r="I594" s="490"/>
    </row>
    <row r="595" spans="1:9">
      <c r="A595" s="490"/>
      <c r="B595" s="485" t="s">
        <v>427</v>
      </c>
      <c r="D595" s="1322" t="s">
        <v>586</v>
      </c>
      <c r="E595" s="1312"/>
      <c r="F595" s="1312"/>
      <c r="I595" s="490"/>
    </row>
    <row r="596" spans="1:9">
      <c r="A596" s="490"/>
      <c r="B596" s="490"/>
      <c r="D596" s="1312"/>
      <c r="E596" s="1312"/>
      <c r="F596" s="1312"/>
      <c r="I596" s="490"/>
    </row>
    <row r="597" spans="1:9">
      <c r="A597" s="490"/>
      <c r="B597" s="490"/>
      <c r="D597" s="1312"/>
      <c r="E597" s="1312"/>
      <c r="F597" s="1312"/>
      <c r="I597" s="490"/>
    </row>
    <row r="598" spans="1:9">
      <c r="A598" s="490"/>
      <c r="B598" s="490"/>
      <c r="D598" s="1312"/>
      <c r="E598" s="1312"/>
      <c r="F598" s="1312"/>
      <c r="I598" s="490"/>
    </row>
    <row r="599" spans="1:9">
      <c r="A599" s="490"/>
      <c r="B599" s="490"/>
      <c r="D599" s="440"/>
      <c r="E599" s="440"/>
      <c r="F599" s="440"/>
      <c r="I599" s="490"/>
    </row>
    <row r="600" spans="1:9">
      <c r="A600" s="490"/>
      <c r="B600" s="485" t="s">
        <v>2790</v>
      </c>
      <c r="D600" s="1322" t="s">
        <v>587</v>
      </c>
      <c r="E600" s="1312"/>
      <c r="F600" s="1312"/>
      <c r="I600" s="490"/>
    </row>
    <row r="601" spans="1:9">
      <c r="A601" s="490"/>
      <c r="B601" s="490"/>
      <c r="D601" s="1312"/>
      <c r="E601" s="1312"/>
      <c r="F601" s="1312"/>
      <c r="I601" s="490"/>
    </row>
    <row r="602" spans="1:9">
      <c r="A602" s="490"/>
      <c r="B602" s="490"/>
      <c r="D602" s="499"/>
      <c r="I602" s="490"/>
    </row>
    <row r="603" spans="1:9">
      <c r="A603" s="490"/>
      <c r="B603" s="485" t="s">
        <v>427</v>
      </c>
      <c r="D603" s="1322" t="s">
        <v>588</v>
      </c>
      <c r="E603" s="1312"/>
      <c r="F603" s="1312"/>
      <c r="I603" s="490"/>
    </row>
    <row r="604" spans="1:9">
      <c r="A604" s="490"/>
      <c r="B604" s="490"/>
      <c r="D604" s="1312"/>
      <c r="E604" s="1312"/>
      <c r="F604" s="1312"/>
      <c r="I604" s="490"/>
    </row>
    <row r="605" spans="1:9" ht="14.4" customHeight="1">
      <c r="A605" s="484"/>
      <c r="B605" s="484"/>
      <c r="D605" s="499"/>
      <c r="I605" s="490"/>
    </row>
    <row r="606" spans="1:9">
      <c r="A606" s="1331" t="s">
        <v>589</v>
      </c>
      <c r="B606" s="1263"/>
      <c r="C606" s="1263"/>
      <c r="D606" s="1263"/>
      <c r="E606" s="1263"/>
      <c r="F606" s="1263"/>
      <c r="G606" s="1263"/>
      <c r="H606" s="1023"/>
      <c r="I606" s="1145"/>
    </row>
    <row r="607" spans="1:9">
      <c r="I607" s="490"/>
    </row>
    <row r="608" spans="1:9">
      <c r="D608" s="1321" t="s">
        <v>590</v>
      </c>
      <c r="E608" s="1312"/>
      <c r="F608" s="1312"/>
      <c r="I608" s="490"/>
    </row>
    <row r="609" spans="1:9">
      <c r="D609" s="1340" t="s">
        <v>591</v>
      </c>
      <c r="E609" s="1312"/>
      <c r="F609" s="1312"/>
      <c r="I609" s="490"/>
    </row>
    <row r="610" spans="1:9">
      <c r="D610" s="444"/>
      <c r="I610" s="490"/>
    </row>
    <row r="611" spans="1:9" ht="14.25" customHeight="1">
      <c r="A611" s="484"/>
      <c r="B611" s="485" t="s">
        <v>2790</v>
      </c>
      <c r="D611" s="1354" t="s">
        <v>592</v>
      </c>
      <c r="E611" s="1312"/>
      <c r="F611" s="1312"/>
      <c r="I611" s="490"/>
    </row>
    <row r="612" spans="1:9">
      <c r="D612" s="1312"/>
      <c r="E612" s="1312"/>
      <c r="F612" s="1312"/>
      <c r="I612" s="490"/>
    </row>
    <row r="613" spans="1:9">
      <c r="D613" s="385"/>
      <c r="E613" s="1031" t="s">
        <v>593</v>
      </c>
      <c r="F613" s="385"/>
      <c r="I613" s="490"/>
    </row>
    <row r="614" spans="1:9">
      <c r="I614" s="490"/>
    </row>
    <row r="615" spans="1:9">
      <c r="A615" s="1331" t="s">
        <v>594</v>
      </c>
      <c r="B615" s="1263"/>
      <c r="C615" s="1263"/>
      <c r="D615" s="1263"/>
      <c r="E615" s="1263"/>
      <c r="F615" s="1263"/>
      <c r="G615" s="1263"/>
      <c r="H615" s="1023"/>
      <c r="I615" s="1145"/>
    </row>
    <row r="616" spans="1:9">
      <c r="A616" s="446"/>
      <c r="B616" s="446"/>
      <c r="I616" s="490"/>
    </row>
    <row r="617" spans="1:9">
      <c r="A617" s="482"/>
      <c r="B617" s="482"/>
      <c r="C617" s="482"/>
      <c r="D617" s="1353" t="s">
        <v>595</v>
      </c>
      <c r="E617" s="1312"/>
      <c r="F617" s="1312"/>
      <c r="I617" s="490"/>
    </row>
    <row r="618" spans="1:9">
      <c r="A618" s="482"/>
      <c r="B618" s="482"/>
      <c r="C618" s="482"/>
      <c r="D618" s="1312"/>
      <c r="E618" s="1312"/>
      <c r="F618" s="1312"/>
      <c r="I618" s="490"/>
    </row>
    <row r="619" spans="1:9">
      <c r="C619" s="483"/>
      <c r="D619" s="1340" t="s">
        <v>596</v>
      </c>
      <c r="E619" s="1312"/>
      <c r="F619" s="1312"/>
      <c r="I619" s="490"/>
    </row>
    <row r="620" spans="1:9">
      <c r="C620" s="483"/>
      <c r="D620" s="444"/>
      <c r="E620" s="444"/>
      <c r="F620" s="444"/>
      <c r="I620" s="490"/>
    </row>
    <row r="621" spans="1:9">
      <c r="B621" s="485" t="s">
        <v>2790</v>
      </c>
      <c r="C621" s="483"/>
      <c r="D621" s="1334" t="s">
        <v>597</v>
      </c>
      <c r="E621" s="1312"/>
      <c r="F621" s="1312"/>
      <c r="I621" s="490"/>
    </row>
    <row r="622" spans="1:9">
      <c r="C622" s="483"/>
      <c r="D622" s="444"/>
      <c r="E622" s="444"/>
      <c r="F622" s="444"/>
      <c r="I622" s="490"/>
    </row>
    <row r="623" spans="1:9" ht="12.75" customHeight="1">
      <c r="A623" s="490"/>
      <c r="B623" s="485" t="s">
        <v>2790</v>
      </c>
      <c r="D623" s="1339" t="s">
        <v>598</v>
      </c>
      <c r="E623" s="1312"/>
      <c r="F623" s="1312"/>
      <c r="I623" s="490"/>
    </row>
    <row r="624" spans="1:9">
      <c r="D624" s="1312"/>
      <c r="E624" s="1312"/>
      <c r="F624" s="1312"/>
      <c r="I624" s="490"/>
    </row>
    <row r="625" spans="1:9">
      <c r="I625" s="490"/>
    </row>
    <row r="626" spans="1:9">
      <c r="B626" s="485" t="s">
        <v>2790</v>
      </c>
      <c r="D626" s="1339" t="s">
        <v>599</v>
      </c>
      <c r="E626" s="1312"/>
      <c r="F626" s="1312"/>
      <c r="I626" s="490"/>
    </row>
    <row r="627" spans="1:9">
      <c r="C627" s="500"/>
      <c r="D627" s="1312"/>
      <c r="E627" s="1312"/>
      <c r="F627" s="1312"/>
      <c r="I627" s="490"/>
    </row>
    <row r="628" spans="1:9">
      <c r="C628" s="500"/>
      <c r="I628" s="490"/>
    </row>
    <row r="629" spans="1:9">
      <c r="B629" s="485" t="s">
        <v>427</v>
      </c>
      <c r="C629" s="500"/>
      <c r="D629" s="1339" t="s">
        <v>600</v>
      </c>
      <c r="E629" s="1312"/>
      <c r="F629" s="1312"/>
      <c r="I629" s="490"/>
    </row>
    <row r="630" spans="1:9">
      <c r="C630" s="500"/>
      <c r="D630" s="1312"/>
      <c r="E630" s="1312"/>
      <c r="F630" s="1312"/>
      <c r="I630" s="500"/>
    </row>
    <row r="631" spans="1:9">
      <c r="C631" s="500"/>
      <c r="I631" s="490"/>
    </row>
    <row r="632" spans="1:9">
      <c r="B632" s="485" t="s">
        <v>427</v>
      </c>
      <c r="C632" s="500"/>
      <c r="D632" s="1334" t="s">
        <v>601</v>
      </c>
      <c r="E632" s="1312"/>
      <c r="F632" s="1312"/>
      <c r="I632" s="490"/>
    </row>
    <row r="633" spans="1:9">
      <c r="C633" s="500"/>
      <c r="I633" s="490"/>
    </row>
    <row r="634" spans="1:9">
      <c r="A634" s="1331" t="s">
        <v>602</v>
      </c>
      <c r="B634" s="1263"/>
      <c r="C634" s="1263"/>
      <c r="D634" s="1263"/>
      <c r="E634" s="1263"/>
      <c r="F634" s="1263"/>
      <c r="G634" s="1263"/>
      <c r="H634" s="1023"/>
      <c r="I634" s="1145"/>
    </row>
    <row r="635" spans="1:9">
      <c r="A635" s="482"/>
      <c r="B635" s="482"/>
      <c r="C635" s="482"/>
      <c r="I635" s="490"/>
    </row>
    <row r="636" spans="1:9">
      <c r="C636" s="490"/>
      <c r="D636" s="1321" t="s">
        <v>603</v>
      </c>
      <c r="E636" s="1312"/>
      <c r="F636" s="1312"/>
      <c r="I636" s="490"/>
    </row>
    <row r="637" spans="1:9">
      <c r="A637" s="490"/>
      <c r="B637" s="490"/>
      <c r="D637" s="404"/>
      <c r="I637" s="490"/>
    </row>
    <row r="638" spans="1:9" ht="14.25" customHeight="1">
      <c r="A638" s="484"/>
      <c r="B638" s="485" t="s">
        <v>2790</v>
      </c>
      <c r="D638" s="1354" t="s">
        <v>604</v>
      </c>
      <c r="E638" s="1312"/>
      <c r="F638" s="1312"/>
      <c r="I638" s="490"/>
    </row>
    <row r="639" spans="1:9">
      <c r="D639" s="1312"/>
      <c r="E639" s="1312"/>
      <c r="F639" s="1312"/>
      <c r="I639" s="490"/>
    </row>
    <row r="640" spans="1:9">
      <c r="D640" s="385"/>
      <c r="E640" s="1031" t="s">
        <v>605</v>
      </c>
      <c r="F640" s="385"/>
      <c r="I640" s="490"/>
    </row>
    <row r="641" spans="1:9">
      <c r="D641" s="1320" t="s">
        <v>606</v>
      </c>
      <c r="E641" s="1312"/>
      <c r="F641" s="1312"/>
      <c r="I641" s="490"/>
    </row>
    <row r="642" spans="1:9">
      <c r="D642" s="1312"/>
      <c r="E642" s="1312"/>
      <c r="F642" s="1312"/>
      <c r="I642" s="490"/>
    </row>
    <row r="643" spans="1:9">
      <c r="D643" s="1312"/>
      <c r="E643" s="1312"/>
      <c r="F643" s="1312"/>
      <c r="I643" s="490"/>
    </row>
    <row r="644" spans="1:9">
      <c r="D644" s="445"/>
      <c r="E644" s="445"/>
      <c r="F644" s="445"/>
      <c r="I644" s="490"/>
    </row>
    <row r="645" spans="1:9" ht="14.4" customHeight="1">
      <c r="A645" s="484"/>
      <c r="B645" s="485" t="s">
        <v>2790</v>
      </c>
      <c r="D645" s="1320" t="s">
        <v>607</v>
      </c>
      <c r="E645" s="1312"/>
      <c r="F645" s="1312"/>
      <c r="I645" s="490"/>
    </row>
    <row r="646" spans="1:9">
      <c r="A646" s="487"/>
      <c r="B646" s="487"/>
      <c r="C646" s="487"/>
      <c r="D646" s="1312"/>
      <c r="E646" s="1312"/>
      <c r="F646" s="1312"/>
      <c r="I646" s="490"/>
    </row>
    <row r="647" spans="1:9">
      <c r="A647" s="487"/>
      <c r="B647" s="487"/>
      <c r="C647" s="487"/>
      <c r="D647" s="446"/>
      <c r="E647" s="446"/>
      <c r="F647" s="446"/>
      <c r="I647" s="490"/>
    </row>
    <row r="648" spans="1:9" ht="14.4" customHeight="1">
      <c r="A648" s="484"/>
      <c r="B648" s="485" t="s">
        <v>427</v>
      </c>
      <c r="C648" s="487"/>
      <c r="D648" s="1320" t="s">
        <v>608</v>
      </c>
      <c r="E648" s="1312"/>
      <c r="F648" s="1312"/>
      <c r="I648" s="490"/>
    </row>
    <row r="649" spans="1:9" ht="14.4" customHeight="1">
      <c r="A649" s="484"/>
      <c r="B649" s="484"/>
      <c r="C649" s="487"/>
      <c r="D649" s="1312"/>
      <c r="E649" s="1312"/>
      <c r="F649" s="1312"/>
      <c r="I649" s="490"/>
    </row>
    <row r="650" spans="1:9" ht="14.4" customHeight="1">
      <c r="A650" s="484"/>
      <c r="B650" s="484"/>
      <c r="C650" s="487"/>
      <c r="D650" s="1312"/>
      <c r="E650" s="1312"/>
      <c r="F650" s="1312"/>
      <c r="I650" s="490"/>
    </row>
    <row r="651" spans="1:9">
      <c r="A651" s="487"/>
      <c r="B651" s="485" t="s">
        <v>427</v>
      </c>
      <c r="C651" s="487"/>
      <c r="D651" s="1319" t="s">
        <v>609</v>
      </c>
      <c r="E651" s="1312"/>
      <c r="F651" s="1312"/>
      <c r="I651" s="490"/>
    </row>
    <row r="652" spans="1:9">
      <c r="A652" s="487"/>
      <c r="B652" s="487"/>
      <c r="C652" s="487"/>
      <c r="D652" s="446"/>
      <c r="E652" s="446"/>
      <c r="F652" s="446"/>
      <c r="I652" s="490"/>
    </row>
    <row r="653" spans="1:9">
      <c r="A653" s="1331" t="s">
        <v>610</v>
      </c>
      <c r="B653" s="1263"/>
      <c r="C653" s="1263"/>
      <c r="D653" s="1263"/>
      <c r="E653" s="1263"/>
      <c r="F653" s="1263"/>
      <c r="G653" s="1263"/>
      <c r="H653" s="1023"/>
      <c r="I653" s="1145"/>
    </row>
    <row r="654" spans="1:9">
      <c r="A654" s="446"/>
      <c r="B654" s="446"/>
      <c r="C654" s="487"/>
      <c r="D654" s="446"/>
      <c r="E654" s="446"/>
      <c r="F654" s="446"/>
      <c r="I654" s="490"/>
    </row>
    <row r="655" spans="1:9">
      <c r="C655" s="482"/>
      <c r="D655" s="1321" t="s">
        <v>611</v>
      </c>
      <c r="E655" s="1312"/>
      <c r="F655" s="1312"/>
      <c r="I655" s="490"/>
    </row>
    <row r="656" spans="1:9">
      <c r="A656" s="483"/>
      <c r="B656" s="483"/>
      <c r="C656" s="483"/>
      <c r="D656" s="1319" t="s">
        <v>612</v>
      </c>
      <c r="E656" s="1312"/>
      <c r="F656" s="1312"/>
      <c r="I656" s="490"/>
    </row>
    <row r="657" spans="1:9">
      <c r="A657" s="483"/>
      <c r="B657" s="483"/>
      <c r="C657" s="483"/>
      <c r="D657" s="446"/>
      <c r="E657" s="446"/>
      <c r="F657" s="446"/>
      <c r="I657" s="490"/>
    </row>
    <row r="658" spans="1:9" ht="12.75" customHeight="1">
      <c r="B658" s="485" t="s">
        <v>427</v>
      </c>
      <c r="C658" s="487"/>
      <c r="D658" s="1320" t="s">
        <v>613</v>
      </c>
      <c r="E658" s="1312"/>
      <c r="F658" s="1312"/>
      <c r="I658" s="490"/>
    </row>
    <row r="659" spans="1:9">
      <c r="D659" s="1312"/>
      <c r="E659" s="1312"/>
      <c r="F659" s="1312"/>
      <c r="I659" s="490"/>
    </row>
    <row r="660" spans="1:9">
      <c r="D660" s="1312"/>
      <c r="E660" s="1312"/>
      <c r="F660" s="1312"/>
      <c r="I660" s="490"/>
    </row>
    <row r="661" spans="1:9">
      <c r="D661" s="1312"/>
      <c r="E661" s="1312"/>
      <c r="F661" s="1312"/>
      <c r="I661" s="490"/>
    </row>
    <row r="662" spans="1:9" ht="14.4" customHeight="1">
      <c r="A662" s="484"/>
      <c r="B662" s="484"/>
      <c r="C662" s="487"/>
      <c r="D662" s="385"/>
      <c r="E662" s="385"/>
      <c r="F662" s="385"/>
      <c r="I662" s="490"/>
    </row>
    <row r="663" spans="1:9" ht="12.75" customHeight="1">
      <c r="A663" s="483"/>
      <c r="B663" s="485" t="s">
        <v>427</v>
      </c>
      <c r="C663" s="487"/>
      <c r="D663" s="1320" t="s">
        <v>614</v>
      </c>
      <c r="E663" s="1312"/>
      <c r="F663" s="1312"/>
      <c r="I663" s="490"/>
    </row>
    <row r="664" spans="1:9" ht="14.4" customHeight="1">
      <c r="A664" s="483"/>
      <c r="B664" s="484"/>
      <c r="C664" s="487"/>
      <c r="D664" s="1312"/>
      <c r="E664" s="1312"/>
      <c r="F664" s="1312"/>
      <c r="I664" s="490"/>
    </row>
    <row r="665" spans="1:9" ht="14.4" customHeight="1">
      <c r="A665" s="483"/>
      <c r="B665" s="484"/>
      <c r="C665" s="487"/>
      <c r="D665" s="1312"/>
      <c r="E665" s="1312"/>
      <c r="F665" s="1312"/>
      <c r="I665" s="490"/>
    </row>
    <row r="666" spans="1:9" ht="14.4" customHeight="1">
      <c r="A666" s="483"/>
      <c r="B666" s="484"/>
      <c r="C666" s="487"/>
      <c r="D666" s="1312"/>
      <c r="E666" s="1312"/>
      <c r="F666" s="1312"/>
      <c r="I666" s="490"/>
    </row>
    <row r="667" spans="1:9" ht="14.4" customHeight="1">
      <c r="A667" s="483"/>
      <c r="B667" s="484"/>
      <c r="C667" s="487"/>
      <c r="D667" s="1312"/>
      <c r="E667" s="1312"/>
      <c r="F667" s="1312"/>
      <c r="I667" s="490"/>
    </row>
    <row r="668" spans="1:9" ht="14.25" customHeight="1">
      <c r="A668" s="483"/>
      <c r="B668" s="484"/>
      <c r="C668" s="487"/>
      <c r="F668" s="386"/>
      <c r="I668" s="490"/>
    </row>
    <row r="669" spans="1:9" ht="12.75" customHeight="1">
      <c r="A669" s="483"/>
      <c r="B669" s="485" t="s">
        <v>427</v>
      </c>
      <c r="C669" s="487"/>
      <c r="D669" s="1320" t="s">
        <v>615</v>
      </c>
      <c r="E669" s="1312"/>
      <c r="F669" s="1312"/>
      <c r="I669" s="490"/>
    </row>
    <row r="670" spans="1:9" ht="14.4" customHeight="1">
      <c r="A670" s="483"/>
      <c r="B670" s="484"/>
      <c r="C670" s="487"/>
      <c r="D670" s="1312"/>
      <c r="E670" s="1312"/>
      <c r="F670" s="1312"/>
      <c r="I670" s="490"/>
    </row>
    <row r="671" spans="1:9" ht="14.4" customHeight="1">
      <c r="A671" s="484"/>
      <c r="B671" s="484"/>
      <c r="C671" s="487"/>
      <c r="D671" s="1312"/>
      <c r="E671" s="1312"/>
      <c r="F671" s="1312"/>
      <c r="I671" s="490"/>
    </row>
    <row r="672" spans="1:9" ht="14.4" customHeight="1">
      <c r="A672" s="484"/>
      <c r="B672" s="484"/>
      <c r="C672" s="487"/>
      <c r="D672" s="1312"/>
      <c r="E672" s="1312"/>
      <c r="F672" s="1312"/>
      <c r="I672" s="490"/>
    </row>
    <row r="673" spans="1:11" ht="14.4" customHeight="1">
      <c r="A673" s="484"/>
      <c r="B673" s="484"/>
      <c r="C673" s="487"/>
      <c r="D673" s="445"/>
      <c r="E673" s="445"/>
      <c r="F673" s="445"/>
      <c r="I673" s="490"/>
    </row>
    <row r="674" spans="1:11" ht="12.75" customHeight="1">
      <c r="A674" s="483"/>
      <c r="B674" s="485" t="s">
        <v>427</v>
      </c>
      <c r="C674" s="487"/>
      <c r="D674" s="1320" t="s">
        <v>616</v>
      </c>
      <c r="E674" s="1312"/>
      <c r="F674" s="1312"/>
      <c r="I674" s="490"/>
    </row>
    <row r="675" spans="1:11" ht="12.75" customHeight="1">
      <c r="A675" s="483"/>
      <c r="B675" s="484"/>
      <c r="C675" s="487"/>
      <c r="D675" s="1312"/>
      <c r="E675" s="1312"/>
      <c r="F675" s="1312"/>
      <c r="I675" s="490"/>
    </row>
    <row r="676" spans="1:11" ht="12.75" customHeight="1">
      <c r="A676" s="483"/>
      <c r="B676" s="484"/>
      <c r="C676" s="487"/>
      <c r="D676" s="1312"/>
      <c r="E676" s="1312"/>
      <c r="F676" s="1312"/>
      <c r="I676" s="490"/>
    </row>
    <row r="677" spans="1:11" ht="12.75" customHeight="1">
      <c r="A677" s="483"/>
      <c r="B677" s="484"/>
      <c r="C677" s="487"/>
      <c r="D677" s="1312"/>
      <c r="E677" s="1312"/>
      <c r="F677" s="1312"/>
      <c r="I677" s="490"/>
    </row>
    <row r="678" spans="1:11" ht="12.75" customHeight="1">
      <c r="A678" s="483"/>
      <c r="B678" s="484"/>
      <c r="C678" s="487"/>
      <c r="D678" s="1312"/>
      <c r="E678" s="1312"/>
      <c r="F678" s="1312"/>
      <c r="I678" s="490"/>
    </row>
    <row r="679" spans="1:11" ht="12.75" customHeight="1">
      <c r="A679" s="483"/>
      <c r="B679" s="484"/>
      <c r="C679" s="487"/>
      <c r="D679" s="1312"/>
      <c r="E679" s="1312"/>
      <c r="F679" s="1312"/>
      <c r="I679" s="490"/>
    </row>
    <row r="680" spans="1:11" ht="12.75" customHeight="1">
      <c r="A680" s="483"/>
      <c r="B680" s="484"/>
      <c r="C680" s="487"/>
      <c r="D680" s="1312"/>
      <c r="E680" s="1312"/>
      <c r="F680" s="1312"/>
      <c r="I680" s="490"/>
    </row>
    <row r="681" spans="1:11" ht="12.75" customHeight="1">
      <c r="A681" s="483"/>
      <c r="B681" s="484"/>
      <c r="C681" s="487"/>
      <c r="D681" s="1312"/>
      <c r="E681" s="1312"/>
      <c r="F681" s="1312"/>
      <c r="I681" s="490"/>
    </row>
    <row r="682" spans="1:11" ht="12.75" customHeight="1">
      <c r="A682" s="483"/>
      <c r="B682" s="484"/>
      <c r="C682" s="487"/>
      <c r="D682" s="1312"/>
      <c r="E682" s="1312"/>
      <c r="F682" s="1312"/>
      <c r="I682" s="490"/>
    </row>
    <row r="683" spans="1:11">
      <c r="A683" s="487"/>
      <c r="B683" s="487"/>
      <c r="C683" s="487"/>
      <c r="D683" s="446"/>
      <c r="E683" s="446"/>
      <c r="F683" s="446"/>
      <c r="I683" s="490"/>
    </row>
    <row r="684" spans="1:11">
      <c r="A684" s="1331" t="s">
        <v>617</v>
      </c>
      <c r="B684" s="1263"/>
      <c r="C684" s="1263"/>
      <c r="D684" s="1263"/>
      <c r="E684" s="1263"/>
      <c r="F684" s="1263"/>
      <c r="G684" s="1263"/>
      <c r="H684" s="1025"/>
      <c r="I684" s="1149"/>
      <c r="J684" s="501"/>
      <c r="K684" s="501"/>
    </row>
    <row r="685" spans="1:11">
      <c r="A685" s="448"/>
      <c r="B685" s="448"/>
      <c r="C685" s="448"/>
      <c r="D685" s="448"/>
      <c r="E685" s="448"/>
      <c r="F685" s="448"/>
      <c r="G685" s="448"/>
      <c r="H685" s="501"/>
      <c r="I685" s="483"/>
      <c r="J685" s="501"/>
      <c r="K685" s="501"/>
    </row>
    <row r="686" spans="1:11">
      <c r="C686" s="482"/>
      <c r="D686" s="1321" t="s">
        <v>618</v>
      </c>
      <c r="E686" s="1312"/>
      <c r="F686" s="1312"/>
      <c r="H686" s="501"/>
      <c r="I686" s="483"/>
      <c r="J686" s="501"/>
      <c r="K686" s="501"/>
    </row>
    <row r="687" spans="1:11">
      <c r="A687" s="482"/>
      <c r="B687" s="482"/>
      <c r="C687" s="482"/>
      <c r="D687" s="1321" t="s">
        <v>619</v>
      </c>
      <c r="E687" s="1312"/>
      <c r="F687" s="1312"/>
      <c r="H687" s="501"/>
      <c r="I687" s="483"/>
      <c r="J687" s="501"/>
      <c r="K687" s="501"/>
    </row>
    <row r="688" spans="1:11">
      <c r="A688" s="483"/>
      <c r="B688" s="483"/>
      <c r="C688" s="483"/>
      <c r="D688" s="1319" t="s">
        <v>620</v>
      </c>
      <c r="E688" s="1312"/>
      <c r="F688" s="1312"/>
      <c r="H688" s="501"/>
      <c r="I688" s="483"/>
      <c r="J688" s="501"/>
      <c r="K688" s="501"/>
    </row>
    <row r="689" spans="1:11">
      <c r="A689" s="483"/>
      <c r="B689" s="483"/>
      <c r="C689" s="483"/>
      <c r="H689" s="501"/>
      <c r="I689" s="483"/>
      <c r="J689" s="501"/>
      <c r="K689" s="501"/>
    </row>
    <row r="690" spans="1:11" ht="14.4" customHeight="1">
      <c r="A690" s="484"/>
      <c r="B690" s="485" t="s">
        <v>427</v>
      </c>
      <c r="C690" s="483"/>
      <c r="D690" s="1319" t="s">
        <v>621</v>
      </c>
      <c r="E690" s="1312"/>
      <c r="F690" s="1312"/>
      <c r="H690" s="501"/>
      <c r="I690" s="483"/>
      <c r="J690" s="501"/>
      <c r="K690" s="501"/>
    </row>
    <row r="691" spans="1:11">
      <c r="A691" s="483"/>
      <c r="B691" s="483"/>
      <c r="C691" s="483"/>
      <c r="D691" s="1319" t="s">
        <v>622</v>
      </c>
      <c r="E691" s="1312"/>
      <c r="F691" s="1312"/>
      <c r="H691" s="501"/>
      <c r="I691" s="483"/>
      <c r="J691" s="501"/>
      <c r="K691" s="501"/>
    </row>
    <row r="692" spans="1:11" ht="12.75" customHeight="1">
      <c r="A692" s="483"/>
      <c r="B692" s="483"/>
      <c r="C692" s="483"/>
      <c r="E692" s="1031" t="s">
        <v>623</v>
      </c>
      <c r="F692" s="420"/>
      <c r="H692" s="501"/>
      <c r="I692" s="483"/>
      <c r="J692" s="501"/>
      <c r="K692" s="501"/>
    </row>
    <row r="693" spans="1:11">
      <c r="A693" s="483"/>
      <c r="B693" s="483"/>
      <c r="C693" s="483"/>
      <c r="E693" s="501" t="s">
        <v>624</v>
      </c>
      <c r="F693" s="420"/>
      <c r="I693" s="483"/>
      <c r="J693" s="501"/>
      <c r="K693" s="501"/>
    </row>
    <row r="694" spans="1:11">
      <c r="A694" s="483"/>
      <c r="B694" s="483"/>
      <c r="C694" s="483"/>
      <c r="D694" s="502"/>
      <c r="E694" s="446"/>
      <c r="H694" s="501"/>
      <c r="I694" s="483"/>
      <c r="J694" s="501"/>
      <c r="K694" s="501"/>
    </row>
    <row r="695" spans="1:11" ht="14.4" customHeight="1">
      <c r="A695" s="484"/>
      <c r="B695" s="485" t="s">
        <v>427</v>
      </c>
      <c r="C695" s="483"/>
      <c r="D695" s="1320" t="s">
        <v>625</v>
      </c>
      <c r="E695" s="1312"/>
      <c r="F695" s="1312"/>
      <c r="H695" s="501"/>
      <c r="I695" s="483"/>
      <c r="J695" s="501"/>
      <c r="K695" s="501"/>
    </row>
    <row r="696" spans="1:11">
      <c r="A696" s="490"/>
      <c r="B696" s="490"/>
      <c r="C696" s="483"/>
      <c r="D696" s="1312"/>
      <c r="E696" s="1312"/>
      <c r="F696" s="1312"/>
      <c r="H696" s="501"/>
      <c r="I696" s="483"/>
      <c r="J696" s="501"/>
      <c r="K696" s="501"/>
    </row>
    <row r="697" spans="1:11">
      <c r="A697" s="483"/>
      <c r="B697" s="483"/>
      <c r="C697" s="483"/>
      <c r="D697" s="1312"/>
      <c r="E697" s="1312"/>
      <c r="F697" s="1312"/>
      <c r="H697" s="501"/>
      <c r="I697" s="483"/>
      <c r="J697" s="501"/>
      <c r="K697" s="501"/>
    </row>
    <row r="698" spans="1:11">
      <c r="A698" s="483"/>
      <c r="B698" s="483"/>
      <c r="C698" s="483"/>
      <c r="H698" s="501"/>
      <c r="J698" s="501"/>
      <c r="K698" s="501"/>
    </row>
    <row r="699" spans="1:11" ht="14.4" customHeight="1">
      <c r="A699" s="484"/>
      <c r="B699" s="485" t="s">
        <v>427</v>
      </c>
      <c r="C699" s="483"/>
      <c r="D699" s="1319" t="s">
        <v>626</v>
      </c>
      <c r="E699" s="1312"/>
      <c r="F699" s="1312"/>
      <c r="H699" s="501"/>
      <c r="I699" s="483"/>
      <c r="J699" s="501"/>
      <c r="K699" s="501"/>
    </row>
    <row r="700" spans="1:11" ht="14.4" customHeight="1">
      <c r="A700" s="484"/>
      <c r="B700" s="484"/>
      <c r="C700" s="483"/>
      <c r="D700" s="1319" t="s">
        <v>622</v>
      </c>
      <c r="E700" s="1312"/>
      <c r="F700" s="1312"/>
      <c r="H700" s="501"/>
      <c r="I700" s="483"/>
      <c r="J700" s="501"/>
      <c r="K700" s="501"/>
    </row>
    <row r="701" spans="1:11">
      <c r="A701" s="483"/>
      <c r="B701" s="483"/>
      <c r="C701" s="483"/>
      <c r="E701" s="1031" t="s">
        <v>627</v>
      </c>
      <c r="F701" s="404"/>
      <c r="H701" s="501"/>
      <c r="I701" s="483"/>
      <c r="J701" s="501"/>
      <c r="K701" s="501"/>
    </row>
    <row r="702" spans="1:11">
      <c r="A702" s="483"/>
      <c r="B702" s="483"/>
      <c r="C702" s="483"/>
      <c r="D702" s="404"/>
      <c r="H702" s="501"/>
      <c r="I702" s="483"/>
      <c r="J702" s="501"/>
      <c r="K702" s="501"/>
    </row>
    <row r="703" spans="1:11" ht="14.4" customHeight="1">
      <c r="A703" s="484"/>
      <c r="B703" s="485" t="s">
        <v>427</v>
      </c>
      <c r="C703" s="483"/>
      <c r="D703" s="1319" t="s">
        <v>628</v>
      </c>
      <c r="E703" s="1312"/>
      <c r="F703" s="1312"/>
      <c r="H703" s="501"/>
      <c r="I703" s="483"/>
      <c r="J703" s="501"/>
      <c r="K703" s="501"/>
    </row>
    <row r="704" spans="1:11" ht="14.4" customHeight="1">
      <c r="A704" s="484"/>
      <c r="B704" s="484"/>
      <c r="C704" s="483"/>
      <c r="D704" s="1319" t="s">
        <v>622</v>
      </c>
      <c r="E704" s="1312"/>
      <c r="F704" s="1312"/>
      <c r="H704" s="501"/>
      <c r="I704" s="483"/>
      <c r="J704" s="501"/>
      <c r="K704" s="501"/>
    </row>
    <row r="705" spans="1:11">
      <c r="A705" s="483"/>
      <c r="B705" s="483"/>
      <c r="C705" s="483"/>
      <c r="E705" s="1031" t="s">
        <v>629</v>
      </c>
      <c r="F705" s="404"/>
      <c r="H705" s="501"/>
      <c r="I705" s="483"/>
      <c r="J705" s="501"/>
      <c r="K705" s="501"/>
    </row>
    <row r="706" spans="1:11">
      <c r="A706" s="483"/>
      <c r="B706" s="483"/>
      <c r="C706" s="483"/>
      <c r="D706" s="404"/>
      <c r="H706" s="501"/>
      <c r="I706" s="483"/>
      <c r="J706" s="501"/>
      <c r="K706" s="501"/>
    </row>
    <row r="707" spans="1:11" ht="14.4" customHeight="1">
      <c r="A707" s="484"/>
      <c r="B707" s="485" t="s">
        <v>427</v>
      </c>
      <c r="C707" s="483"/>
      <c r="D707" s="1320" t="s">
        <v>630</v>
      </c>
      <c r="E707" s="1312"/>
      <c r="F707" s="1312"/>
      <c r="H707" s="501"/>
      <c r="I707" s="483"/>
      <c r="J707" s="501"/>
      <c r="K707" s="501"/>
    </row>
    <row r="708" spans="1:11">
      <c r="A708" s="483"/>
      <c r="B708" s="483"/>
      <c r="C708" s="483"/>
      <c r="D708" s="1312"/>
      <c r="E708" s="1312"/>
      <c r="F708" s="1312"/>
      <c r="H708" s="501"/>
      <c r="I708" s="483"/>
      <c r="J708" s="501"/>
      <c r="K708" s="501"/>
    </row>
    <row r="709" spans="1:11">
      <c r="A709" s="483"/>
      <c r="B709" s="483"/>
      <c r="C709" s="483"/>
      <c r="D709" s="1312"/>
      <c r="E709" s="1312"/>
      <c r="F709" s="1312"/>
      <c r="H709" s="501"/>
      <c r="I709" s="483"/>
      <c r="J709" s="501"/>
      <c r="K709" s="501"/>
    </row>
    <row r="710" spans="1:11">
      <c r="A710" s="483"/>
      <c r="B710" s="483"/>
      <c r="C710" s="483"/>
      <c r="D710" s="1312"/>
      <c r="E710" s="1312"/>
      <c r="F710" s="1312"/>
      <c r="H710" s="501"/>
      <c r="I710" s="483"/>
      <c r="J710" s="501"/>
      <c r="K710" s="501"/>
    </row>
    <row r="711" spans="1:11">
      <c r="A711" s="483"/>
      <c r="B711" s="483"/>
      <c r="C711" s="483"/>
      <c r="D711" s="1312"/>
      <c r="E711" s="1312"/>
      <c r="F711" s="1312"/>
      <c r="H711" s="501"/>
      <c r="I711" s="483"/>
      <c r="J711" s="501"/>
      <c r="K711" s="501"/>
    </row>
    <row r="712" spans="1:11">
      <c r="A712" s="483"/>
      <c r="B712" s="483"/>
      <c r="C712" s="483"/>
      <c r="D712" s="1312"/>
      <c r="E712" s="1312"/>
      <c r="F712" s="1312"/>
      <c r="H712" s="501"/>
      <c r="I712" s="483"/>
      <c r="J712" s="501"/>
      <c r="K712" s="501"/>
    </row>
    <row r="713" spans="1:11">
      <c r="A713" s="483"/>
      <c r="B713" s="483"/>
      <c r="C713" s="483"/>
      <c r="D713" s="445"/>
      <c r="E713" s="445"/>
      <c r="F713" s="445"/>
      <c r="H713" s="501"/>
      <c r="I713" s="483"/>
      <c r="J713" s="501"/>
      <c r="K713" s="501"/>
    </row>
    <row r="714" spans="1:11">
      <c r="A714" s="483"/>
      <c r="B714" s="485" t="s">
        <v>427</v>
      </c>
      <c r="C714" s="483"/>
      <c r="D714" s="1320" t="s">
        <v>631</v>
      </c>
      <c r="E714" s="1312"/>
      <c r="F714" s="1312"/>
      <c r="H714" s="501"/>
      <c r="I714" s="483"/>
      <c r="J714" s="501"/>
      <c r="K714" s="501"/>
    </row>
    <row r="715" spans="1:11">
      <c r="A715" s="483"/>
      <c r="B715" s="483"/>
      <c r="C715" s="483"/>
      <c r="D715" s="1312"/>
      <c r="E715" s="1312"/>
      <c r="F715" s="1312"/>
      <c r="H715" s="501"/>
      <c r="I715" s="483"/>
      <c r="J715" s="501"/>
      <c r="K715" s="501"/>
    </row>
    <row r="716" spans="1:11">
      <c r="A716" s="483"/>
      <c r="B716" s="483"/>
      <c r="C716" s="483"/>
      <c r="D716" s="445"/>
      <c r="E716" s="445"/>
      <c r="F716" s="445"/>
      <c r="H716" s="501"/>
      <c r="I716" s="483"/>
      <c r="J716" s="501"/>
      <c r="K716" s="501"/>
    </row>
    <row r="717" spans="1:11" ht="14.4" customHeight="1">
      <c r="A717" s="484"/>
      <c r="B717" s="485" t="s">
        <v>427</v>
      </c>
      <c r="C717" s="483"/>
      <c r="D717" s="1320" t="s">
        <v>632</v>
      </c>
      <c r="E717" s="1312"/>
      <c r="F717" s="1312"/>
      <c r="H717" s="501"/>
      <c r="I717" s="483"/>
      <c r="J717" s="501"/>
      <c r="K717" s="501"/>
    </row>
    <row r="718" spans="1:11">
      <c r="A718" s="483"/>
      <c r="B718" s="483"/>
      <c r="C718" s="483"/>
      <c r="D718" s="1312"/>
      <c r="E718" s="1312"/>
      <c r="F718" s="1312"/>
      <c r="H718" s="501"/>
      <c r="I718" s="483"/>
      <c r="J718" s="501"/>
      <c r="K718" s="501"/>
    </row>
    <row r="719" spans="1:11">
      <c r="A719" s="483"/>
      <c r="B719" s="483"/>
      <c r="C719" s="483"/>
      <c r="D719" s="1312"/>
      <c r="E719" s="1312"/>
      <c r="F719" s="1312"/>
      <c r="H719" s="501"/>
      <c r="I719" s="483"/>
      <c r="J719" s="501"/>
      <c r="K719" s="501"/>
    </row>
    <row r="720" spans="1:11" ht="15" customHeight="1">
      <c r="A720" s="483"/>
      <c r="B720" s="483"/>
      <c r="C720" s="483"/>
      <c r="D720" s="1312"/>
      <c r="E720" s="1312"/>
      <c r="F720" s="1312"/>
      <c r="H720" s="501"/>
      <c r="I720" s="483"/>
      <c r="J720" s="501"/>
      <c r="K720" s="501"/>
    </row>
    <row r="721" spans="1:11" ht="15" customHeight="1">
      <c r="A721" s="483"/>
      <c r="B721" s="483"/>
      <c r="C721" s="483"/>
      <c r="D721" s="1312"/>
      <c r="E721" s="1312"/>
      <c r="F721" s="1312"/>
      <c r="H721" s="501"/>
      <c r="I721" s="483"/>
      <c r="J721" s="501"/>
      <c r="K721" s="501"/>
    </row>
    <row r="722" spans="1:11">
      <c r="A722" s="483"/>
      <c r="B722" s="483"/>
      <c r="C722" s="483"/>
      <c r="D722" s="1312"/>
      <c r="E722" s="1312"/>
      <c r="F722" s="1312"/>
      <c r="H722" s="501"/>
      <c r="I722" s="483"/>
      <c r="J722" s="501"/>
      <c r="K722" s="501"/>
    </row>
    <row r="723" spans="1:11">
      <c r="A723" s="483"/>
      <c r="B723" s="483"/>
      <c r="C723" s="483"/>
      <c r="D723" s="1312"/>
      <c r="E723" s="1312"/>
      <c r="F723" s="1312"/>
      <c r="H723" s="501"/>
      <c r="I723" s="483"/>
      <c r="J723" s="501"/>
      <c r="K723" s="501"/>
    </row>
    <row r="724" spans="1:11">
      <c r="A724" s="483"/>
      <c r="B724" s="483"/>
      <c r="C724" s="483"/>
      <c r="D724" s="1312"/>
      <c r="E724" s="1312"/>
      <c r="F724" s="1312"/>
      <c r="H724" s="501"/>
      <c r="I724" s="483"/>
      <c r="J724" s="501"/>
      <c r="K724" s="501"/>
    </row>
    <row r="725" spans="1:11" ht="15" customHeight="1">
      <c r="A725" s="483"/>
      <c r="B725" s="483"/>
      <c r="C725" s="483"/>
      <c r="D725" s="1312"/>
      <c r="E725" s="1312"/>
      <c r="F725" s="1312"/>
      <c r="H725" s="501"/>
      <c r="I725" s="483"/>
      <c r="J725" s="501"/>
      <c r="K725" s="501"/>
    </row>
    <row r="726" spans="1:11">
      <c r="A726" s="483"/>
      <c r="B726" s="483"/>
      <c r="C726" s="483"/>
      <c r="D726" s="1312"/>
      <c r="E726" s="1312"/>
      <c r="F726" s="1312"/>
      <c r="H726" s="501"/>
      <c r="I726" s="483"/>
      <c r="J726" s="501"/>
      <c r="K726" s="501"/>
    </row>
    <row r="727" spans="1:11">
      <c r="A727" s="483"/>
      <c r="B727" s="483"/>
      <c r="C727" s="483"/>
      <c r="D727" s="1312"/>
      <c r="E727" s="1312"/>
      <c r="F727" s="1312"/>
      <c r="H727" s="501"/>
      <c r="I727" s="483"/>
      <c r="J727" s="501"/>
      <c r="K727" s="501"/>
    </row>
    <row r="728" spans="1:11">
      <c r="A728" s="483"/>
      <c r="B728" s="483"/>
      <c r="C728" s="483"/>
      <c r="D728" s="1312"/>
      <c r="E728" s="1312"/>
      <c r="F728" s="1312"/>
      <c r="H728" s="501"/>
      <c r="I728" s="483"/>
      <c r="J728" s="501"/>
      <c r="K728" s="501"/>
    </row>
    <row r="729" spans="1:11">
      <c r="A729" s="483"/>
      <c r="B729" s="483"/>
      <c r="C729" s="483"/>
      <c r="D729" s="1312"/>
      <c r="E729" s="1312"/>
      <c r="F729" s="1312"/>
      <c r="H729" s="501"/>
      <c r="I729" s="483"/>
      <c r="J729" s="501"/>
      <c r="K729" s="501"/>
    </row>
    <row r="730" spans="1:11">
      <c r="A730" s="483"/>
      <c r="B730" s="485" t="s">
        <v>427</v>
      </c>
      <c r="C730" s="483"/>
      <c r="D730" s="1320" t="s">
        <v>633</v>
      </c>
      <c r="E730" s="1312"/>
      <c r="F730" s="1312"/>
      <c r="H730" s="501"/>
      <c r="I730" s="483"/>
      <c r="J730" s="501"/>
      <c r="K730" s="501"/>
    </row>
    <row r="731" spans="1:11">
      <c r="A731" s="483"/>
      <c r="B731" s="483"/>
      <c r="C731" s="483"/>
      <c r="D731" s="1312"/>
      <c r="E731" s="1312"/>
      <c r="F731" s="1312"/>
      <c r="H731" s="501"/>
      <c r="I731" s="483"/>
      <c r="J731" s="501"/>
      <c r="K731" s="501"/>
    </row>
    <row r="732" spans="1:11">
      <c r="A732" s="483"/>
      <c r="B732" s="483"/>
      <c r="C732" s="483"/>
      <c r="D732" s="1312"/>
      <c r="E732" s="1312"/>
      <c r="F732" s="1312"/>
      <c r="H732" s="501"/>
      <c r="I732" s="483"/>
      <c r="J732" s="501"/>
      <c r="K732" s="501"/>
    </row>
    <row r="733" spans="1:11">
      <c r="A733" s="483"/>
      <c r="B733" s="483"/>
      <c r="C733" s="483"/>
      <c r="D733" s="445"/>
      <c r="E733" s="445"/>
      <c r="F733" s="445"/>
      <c r="H733" s="501"/>
      <c r="I733" s="483"/>
      <c r="J733" s="501"/>
      <c r="K733" s="501"/>
    </row>
    <row r="734" spans="1:11">
      <c r="A734" s="483"/>
      <c r="B734" s="485" t="s">
        <v>427</v>
      </c>
      <c r="C734" s="483"/>
      <c r="D734" s="1320" t="s">
        <v>634</v>
      </c>
      <c r="E734" s="1312"/>
      <c r="F734" s="1312"/>
      <c r="H734" s="501"/>
      <c r="I734" s="483"/>
      <c r="J734" s="501"/>
      <c r="K734" s="501"/>
    </row>
    <row r="735" spans="1:11">
      <c r="A735" s="483"/>
      <c r="B735" s="483"/>
      <c r="C735" s="483"/>
      <c r="D735" s="1312"/>
      <c r="E735" s="1312"/>
      <c r="F735" s="1312"/>
      <c r="H735" s="501"/>
      <c r="I735" s="483"/>
      <c r="J735" s="501"/>
      <c r="K735" s="501"/>
    </row>
    <row r="736" spans="1:11">
      <c r="A736" s="483"/>
      <c r="B736" s="483"/>
      <c r="C736" s="483"/>
      <c r="D736" s="1312"/>
      <c r="E736" s="1312"/>
      <c r="F736" s="1312"/>
      <c r="H736" s="501"/>
      <c r="I736" s="483"/>
      <c r="J736" s="501"/>
      <c r="K736" s="501"/>
    </row>
    <row r="737" spans="1:11">
      <c r="A737" s="483"/>
      <c r="B737" s="483"/>
      <c r="C737" s="483"/>
      <c r="H737" s="501"/>
      <c r="I737" s="483"/>
      <c r="J737" s="501"/>
      <c r="K737" s="501"/>
    </row>
    <row r="738" spans="1:11">
      <c r="A738" s="483"/>
      <c r="B738" s="485" t="s">
        <v>427</v>
      </c>
      <c r="C738" s="483"/>
      <c r="D738" s="1320" t="s">
        <v>635</v>
      </c>
      <c r="E738" s="1312"/>
      <c r="F738" s="1312"/>
      <c r="H738" s="501"/>
      <c r="I738" s="483"/>
      <c r="J738" s="501"/>
      <c r="K738" s="501"/>
    </row>
    <row r="739" spans="1:11">
      <c r="A739" s="483"/>
      <c r="B739" s="483"/>
      <c r="C739" s="483"/>
      <c r="D739" s="1312"/>
      <c r="E739" s="1312"/>
      <c r="F739" s="1312"/>
      <c r="H739" s="501"/>
      <c r="I739" s="483"/>
      <c r="J739" s="501"/>
      <c r="K739" s="501"/>
    </row>
    <row r="740" spans="1:11">
      <c r="A740" s="483"/>
      <c r="B740" s="483"/>
      <c r="C740" s="483"/>
      <c r="D740" s="1312"/>
      <c r="E740" s="1312"/>
      <c r="F740" s="1312"/>
      <c r="H740" s="501"/>
      <c r="I740" s="483"/>
      <c r="J740" s="501"/>
      <c r="K740" s="501"/>
    </row>
    <row r="741" spans="1:11">
      <c r="A741" s="483"/>
      <c r="B741" s="483"/>
      <c r="C741" s="483"/>
      <c r="D741" s="1312"/>
      <c r="E741" s="1312"/>
      <c r="F741" s="1312"/>
      <c r="H741" s="501"/>
      <c r="I741" s="483"/>
      <c r="J741" s="501"/>
      <c r="K741" s="501"/>
    </row>
    <row r="742" spans="1:11">
      <c r="A742" s="483"/>
      <c r="B742" s="483"/>
      <c r="C742" s="483"/>
      <c r="H742" s="501"/>
      <c r="I742" s="483"/>
      <c r="J742" s="501"/>
      <c r="K742" s="501"/>
    </row>
    <row r="743" spans="1:11" ht="14.4" customHeight="1">
      <c r="A743" s="484"/>
      <c r="B743" s="485" t="s">
        <v>427</v>
      </c>
      <c r="C743" s="483"/>
      <c r="D743" s="1320" t="s">
        <v>636</v>
      </c>
      <c r="E743" s="1312"/>
      <c r="F743" s="1312"/>
      <c r="H743" s="501"/>
      <c r="I743" s="483"/>
      <c r="J743" s="501"/>
      <c r="K743" s="501"/>
    </row>
    <row r="744" spans="1:11">
      <c r="A744" s="483"/>
      <c r="B744" s="483"/>
      <c r="C744" s="483"/>
      <c r="D744" s="1312"/>
      <c r="E744" s="1312"/>
      <c r="F744" s="1312"/>
      <c r="H744" s="501"/>
      <c r="I744" s="483"/>
      <c r="J744" s="501"/>
      <c r="K744" s="501"/>
    </row>
    <row r="745" spans="1:11">
      <c r="A745" s="483"/>
      <c r="B745" s="483"/>
      <c r="C745" s="483"/>
      <c r="D745" s="1312"/>
      <c r="E745" s="1312"/>
      <c r="F745" s="1312"/>
      <c r="H745" s="501"/>
      <c r="I745" s="483"/>
      <c r="J745" s="501"/>
      <c r="K745" s="501"/>
    </row>
    <row r="746" spans="1:11">
      <c r="A746" s="483"/>
      <c r="B746" s="483"/>
      <c r="C746" s="483"/>
      <c r="D746" s="1312"/>
      <c r="E746" s="1312"/>
      <c r="F746" s="1312"/>
      <c r="H746" s="501"/>
      <c r="I746" s="483"/>
      <c r="J746" s="501"/>
      <c r="K746" s="501"/>
    </row>
    <row r="747" spans="1:11">
      <c r="A747" s="483"/>
      <c r="B747" s="483"/>
      <c r="C747" s="483"/>
      <c r="D747" s="1312"/>
      <c r="E747" s="1312"/>
      <c r="F747" s="1312"/>
      <c r="H747" s="501"/>
      <c r="I747" s="483"/>
      <c r="J747" s="501"/>
      <c r="K747" s="501"/>
    </row>
    <row r="748" spans="1:11">
      <c r="A748" s="483"/>
      <c r="B748" s="483"/>
      <c r="C748" s="483"/>
      <c r="D748" s="492"/>
      <c r="H748" s="501"/>
      <c r="I748" s="483"/>
      <c r="J748" s="501"/>
      <c r="K748" s="501"/>
    </row>
    <row r="749" spans="1:11" ht="14.4" customHeight="1">
      <c r="A749" s="484"/>
      <c r="B749" s="485" t="s">
        <v>427</v>
      </c>
      <c r="C749" s="483"/>
      <c r="D749" s="1320" t="s">
        <v>637</v>
      </c>
      <c r="E749" s="1312"/>
      <c r="F749" s="1312"/>
      <c r="H749" s="501"/>
      <c r="I749" s="483"/>
      <c r="J749" s="501"/>
      <c r="K749" s="501"/>
    </row>
    <row r="750" spans="1:11">
      <c r="A750" s="483"/>
      <c r="B750" s="483"/>
      <c r="C750" s="483"/>
      <c r="D750" s="1312"/>
      <c r="E750" s="1312"/>
      <c r="F750" s="1312"/>
      <c r="H750" s="501"/>
      <c r="I750" s="483"/>
      <c r="J750" s="501"/>
      <c r="K750" s="501"/>
    </row>
    <row r="751" spans="1:11">
      <c r="A751" s="483"/>
      <c r="B751" s="483"/>
      <c r="C751" s="483"/>
      <c r="D751" s="1312"/>
      <c r="E751" s="1312"/>
      <c r="F751" s="1312"/>
      <c r="H751" s="501"/>
      <c r="I751" s="483"/>
      <c r="J751" s="501"/>
      <c r="K751" s="501"/>
    </row>
    <row r="752" spans="1:11">
      <c r="A752" s="483"/>
      <c r="B752" s="483"/>
      <c r="C752" s="483"/>
      <c r="D752" s="1312"/>
      <c r="E752" s="1312"/>
      <c r="F752" s="1312"/>
      <c r="H752" s="501"/>
      <c r="I752" s="483"/>
      <c r="J752" s="501"/>
      <c r="K752" s="501"/>
    </row>
    <row r="753" spans="1:11">
      <c r="A753" s="483"/>
      <c r="B753" s="483"/>
      <c r="C753" s="483"/>
      <c r="D753" s="1312"/>
      <c r="E753" s="1312"/>
      <c r="F753" s="1312"/>
      <c r="H753" s="501"/>
      <c r="I753" s="483"/>
      <c r="J753" s="501"/>
      <c r="K753" s="501"/>
    </row>
    <row r="754" spans="1:11">
      <c r="A754" s="483"/>
      <c r="B754" s="483"/>
      <c r="C754" s="483"/>
      <c r="D754" s="1312"/>
      <c r="E754" s="1312"/>
      <c r="F754" s="1312"/>
      <c r="H754" s="501"/>
      <c r="I754" s="483"/>
      <c r="J754" s="501"/>
      <c r="K754" s="501"/>
    </row>
    <row r="755" spans="1:11">
      <c r="A755" s="483"/>
      <c r="B755" s="483"/>
      <c r="C755" s="483"/>
      <c r="D755" s="1312"/>
      <c r="E755" s="1312"/>
      <c r="F755" s="1312"/>
      <c r="H755" s="501"/>
      <c r="I755" s="483"/>
      <c r="J755" s="501"/>
      <c r="K755" s="501"/>
    </row>
    <row r="756" spans="1:11">
      <c r="A756" s="483"/>
      <c r="B756" s="483"/>
      <c r="C756" s="483"/>
      <c r="D756" s="1349" t="s">
        <v>638</v>
      </c>
      <c r="E756" s="1312"/>
      <c r="F756" s="1312"/>
      <c r="H756" s="501"/>
      <c r="I756" s="483"/>
      <c r="J756" s="501"/>
      <c r="K756" s="501"/>
    </row>
    <row r="757" spans="1:11">
      <c r="A757" s="483"/>
      <c r="B757" s="483"/>
      <c r="C757" s="483"/>
      <c r="D757" s="341"/>
      <c r="H757" s="501"/>
      <c r="I757" s="483"/>
      <c r="J757" s="501"/>
      <c r="K757" s="501"/>
    </row>
    <row r="758" spans="1:11">
      <c r="A758" s="1350" t="s">
        <v>639</v>
      </c>
      <c r="B758" s="1263"/>
      <c r="C758" s="1263"/>
      <c r="D758" s="1263"/>
      <c r="E758" s="1263"/>
      <c r="F758" s="1263"/>
      <c r="G758" s="1263"/>
      <c r="H758" s="1025"/>
      <c r="I758" s="1149"/>
      <c r="J758" s="501"/>
      <c r="K758" s="501"/>
    </row>
    <row r="759" spans="1:11">
      <c r="A759" s="483"/>
      <c r="B759" s="483"/>
      <c r="C759" s="483"/>
      <c r="D759" s="492"/>
      <c r="G759" s="501"/>
      <c r="H759" s="501"/>
      <c r="I759" s="483"/>
      <c r="J759" s="501"/>
      <c r="K759" s="501"/>
    </row>
    <row r="760" spans="1:11" ht="13.65" customHeight="1">
      <c r="C760" s="483"/>
      <c r="D760" s="1341" t="s">
        <v>640</v>
      </c>
      <c r="E760" s="1312"/>
      <c r="F760" s="1312"/>
      <c r="G760" s="501"/>
      <c r="H760" s="501"/>
      <c r="I760" s="483"/>
      <c r="J760" s="501"/>
      <c r="K760" s="501"/>
    </row>
    <row r="761" spans="1:11">
      <c r="A761" s="483"/>
      <c r="B761" s="483"/>
      <c r="C761" s="483"/>
      <c r="D761" s="1327" t="s">
        <v>641</v>
      </c>
      <c r="E761" s="1312"/>
      <c r="F761" s="1312"/>
      <c r="G761" s="501"/>
      <c r="H761" s="501"/>
      <c r="I761" s="483"/>
      <c r="J761" s="501"/>
      <c r="K761" s="501"/>
    </row>
    <row r="762" spans="1:11">
      <c r="A762" s="483"/>
      <c r="B762" s="483"/>
      <c r="C762" s="483"/>
      <c r="G762" s="501"/>
      <c r="H762" s="501"/>
      <c r="I762" s="483"/>
      <c r="J762" s="501"/>
      <c r="K762" s="501"/>
    </row>
    <row r="763" spans="1:11" ht="14.4" customHeight="1">
      <c r="A763" s="484"/>
      <c r="B763" s="485" t="s">
        <v>2790</v>
      </c>
      <c r="D763" s="1320" t="s">
        <v>642</v>
      </c>
      <c r="E763" s="1312"/>
      <c r="F763" s="1312"/>
      <c r="G763" s="501"/>
      <c r="H763" s="501"/>
      <c r="I763" s="483"/>
      <c r="J763" s="501"/>
      <c r="K763" s="501"/>
    </row>
    <row r="764" spans="1:11" ht="10.5" customHeight="1">
      <c r="D764" s="1312"/>
      <c r="E764" s="1312"/>
      <c r="F764" s="1312"/>
      <c r="G764" s="501"/>
      <c r="H764" s="501"/>
      <c r="I764" s="483"/>
      <c r="J764" s="501"/>
      <c r="K764" s="501"/>
    </row>
    <row r="765" spans="1:11">
      <c r="D765" s="1312"/>
      <c r="E765" s="1312"/>
      <c r="F765" s="1312"/>
      <c r="G765" s="501"/>
      <c r="H765" s="501"/>
      <c r="I765" s="483"/>
      <c r="J765" s="501"/>
      <c r="K765" s="501"/>
    </row>
    <row r="766" spans="1:11">
      <c r="D766" s="1312"/>
      <c r="E766" s="1312"/>
      <c r="F766" s="1312"/>
      <c r="G766" s="501"/>
      <c r="H766" s="501"/>
      <c r="I766" s="483"/>
      <c r="J766" s="501"/>
      <c r="K766" s="501"/>
    </row>
    <row r="767" spans="1:11">
      <c r="D767" s="1312"/>
      <c r="E767" s="1312"/>
      <c r="F767" s="1312"/>
      <c r="G767" s="501"/>
      <c r="H767" s="501"/>
      <c r="I767" s="483"/>
      <c r="J767" s="501"/>
      <c r="K767" s="501"/>
    </row>
    <row r="768" spans="1:11" ht="15.6" customHeight="1">
      <c r="D768" s="1312"/>
      <c r="E768" s="1312"/>
      <c r="F768" s="1312"/>
      <c r="G768" s="501"/>
      <c r="H768" s="501"/>
      <c r="I768" s="483"/>
      <c r="J768" s="501"/>
      <c r="K768" s="501"/>
    </row>
    <row r="769" spans="1:11">
      <c r="D769" s="499"/>
      <c r="E769" s="446"/>
      <c r="F769" s="446"/>
      <c r="G769" s="501"/>
      <c r="H769" s="501"/>
      <c r="I769" s="483"/>
      <c r="J769" s="501"/>
      <c r="K769" s="501"/>
    </row>
    <row r="770" spans="1:11" s="505" customFormat="1" ht="14.4" customHeight="1">
      <c r="A770" s="503"/>
      <c r="B770" s="485" t="s">
        <v>427</v>
      </c>
      <c r="C770" s="504"/>
      <c r="D770" s="1320" t="s">
        <v>643</v>
      </c>
      <c r="E770" s="1351"/>
      <c r="F770" s="1351"/>
      <c r="I770" s="1150"/>
    </row>
    <row r="771" spans="1:11" s="505" customFormat="1">
      <c r="A771" s="504"/>
      <c r="B771" s="504"/>
      <c r="C771" s="504"/>
      <c r="D771" s="1351"/>
      <c r="E771" s="1351"/>
      <c r="F771" s="1351"/>
      <c r="I771" s="1150"/>
    </row>
    <row r="772" spans="1:11" s="505" customFormat="1">
      <c r="A772" s="504"/>
      <c r="B772" s="504"/>
      <c r="C772" s="504"/>
      <c r="D772" s="1351"/>
      <c r="E772" s="1351"/>
      <c r="F772" s="1351"/>
      <c r="I772" s="1150"/>
    </row>
    <row r="773" spans="1:11" s="505" customFormat="1">
      <c r="A773" s="504"/>
      <c r="B773" s="504"/>
      <c r="C773" s="504"/>
      <c r="D773" s="1351"/>
      <c r="E773" s="1351"/>
      <c r="F773" s="1351"/>
      <c r="I773" s="1150"/>
    </row>
    <row r="774" spans="1:11" s="505" customFormat="1">
      <c r="A774" s="504"/>
      <c r="B774" s="504"/>
      <c r="C774" s="504"/>
      <c r="D774" s="499"/>
      <c r="I774" s="1150"/>
    </row>
    <row r="775" spans="1:11" s="505" customFormat="1" ht="14.4" customHeight="1">
      <c r="A775" s="484"/>
      <c r="B775" s="485" t="s">
        <v>427</v>
      </c>
      <c r="C775" s="504"/>
      <c r="D775" s="1339" t="s">
        <v>644</v>
      </c>
      <c r="E775" s="1351"/>
      <c r="F775" s="1351"/>
      <c r="I775" s="1150"/>
    </row>
    <row r="776" spans="1:11" s="505" customFormat="1">
      <c r="A776" s="504"/>
      <c r="B776" s="504"/>
      <c r="C776" s="504"/>
      <c r="D776" s="1351"/>
      <c r="E776" s="1351"/>
      <c r="F776" s="1351"/>
      <c r="I776" s="1150"/>
    </row>
    <row r="777" spans="1:11" s="505" customFormat="1">
      <c r="A777" s="504"/>
      <c r="B777" s="504"/>
      <c r="C777" s="504"/>
      <c r="D777" s="1351"/>
      <c r="E777" s="1351"/>
      <c r="F777" s="1351"/>
      <c r="I777" s="1150"/>
    </row>
    <row r="778" spans="1:11">
      <c r="D778" s="499"/>
      <c r="E778" s="446"/>
      <c r="F778" s="446"/>
      <c r="G778" s="501"/>
      <c r="H778" s="501"/>
      <c r="I778" s="483"/>
      <c r="J778" s="501"/>
      <c r="K778" s="501"/>
    </row>
    <row r="779" spans="1:11" ht="14.4" customHeight="1">
      <c r="A779" s="484"/>
      <c r="B779" s="485" t="s">
        <v>2790</v>
      </c>
      <c r="D779" s="1320" t="s">
        <v>645</v>
      </c>
      <c r="E779" s="1312"/>
      <c r="F779" s="1312"/>
      <c r="G779" s="501"/>
      <c r="H779" s="501"/>
      <c r="I779" s="483"/>
      <c r="J779" s="501"/>
      <c r="K779" s="501"/>
    </row>
    <row r="780" spans="1:11">
      <c r="D780" s="1312"/>
      <c r="E780" s="1312"/>
      <c r="F780" s="1312"/>
      <c r="G780" s="501"/>
      <c r="H780" s="501"/>
      <c r="I780" s="483"/>
      <c r="J780" s="501"/>
      <c r="K780" s="501"/>
    </row>
    <row r="781" spans="1:11">
      <c r="D781" s="445"/>
      <c r="E781" s="445"/>
      <c r="F781" s="445"/>
      <c r="G781" s="501"/>
      <c r="H781" s="501"/>
      <c r="I781" s="483"/>
      <c r="J781" s="501"/>
      <c r="K781" s="501"/>
    </row>
    <row r="782" spans="1:11">
      <c r="B782" s="485" t="s">
        <v>427</v>
      </c>
      <c r="D782" s="1320" t="s">
        <v>646</v>
      </c>
      <c r="E782" s="1312"/>
      <c r="F782" s="1312"/>
      <c r="G782" s="501"/>
      <c r="H782" s="501"/>
      <c r="I782" s="483"/>
      <c r="J782" s="501"/>
      <c r="K782" s="501"/>
    </row>
    <row r="783" spans="1:11">
      <c r="D783" s="1312"/>
      <c r="E783" s="1312"/>
      <c r="F783" s="1312"/>
      <c r="G783" s="501"/>
      <c r="H783" s="501"/>
      <c r="I783" s="483"/>
      <c r="J783" s="501"/>
      <c r="K783" s="501"/>
    </row>
    <row r="784" spans="1:11">
      <c r="D784" s="1312"/>
      <c r="E784" s="1312"/>
      <c r="F784" s="1312"/>
      <c r="G784" s="501"/>
      <c r="H784" s="501"/>
      <c r="I784" s="483"/>
      <c r="J784" s="501"/>
      <c r="K784" s="501"/>
    </row>
    <row r="785" spans="1:11">
      <c r="D785" s="445"/>
      <c r="E785" s="445"/>
      <c r="F785" s="445"/>
      <c r="G785" s="501"/>
      <c r="H785" s="501"/>
      <c r="I785" s="483"/>
      <c r="J785" s="501"/>
      <c r="K785" s="501"/>
    </row>
    <row r="786" spans="1:11" hidden="1">
      <c r="A786" s="1361" t="s">
        <v>647</v>
      </c>
      <c r="B786" s="1263"/>
      <c r="C786" s="1263"/>
      <c r="D786" s="1263"/>
      <c r="E786" s="1263"/>
      <c r="F786" s="1263"/>
      <c r="G786" s="1263"/>
      <c r="H786" s="1023"/>
      <c r="I786" s="1145"/>
    </row>
    <row r="787" spans="1:11" hidden="1">
      <c r="A787" s="57"/>
      <c r="B787" s="57"/>
      <c r="C787" s="354"/>
      <c r="D787" s="3"/>
      <c r="E787" s="3"/>
      <c r="F787" s="3"/>
      <c r="G787" s="3"/>
      <c r="I787" s="490"/>
    </row>
    <row r="788" spans="1:11" hidden="1">
      <c r="A788" s="57"/>
      <c r="B788" s="57"/>
      <c r="C788" s="354"/>
      <c r="D788" s="1365" t="s">
        <v>648</v>
      </c>
      <c r="E788" s="1312"/>
      <c r="F788" s="1312"/>
      <c r="G788" s="3"/>
      <c r="I788" s="490"/>
    </row>
    <row r="789" spans="1:11" hidden="1">
      <c r="A789" s="57"/>
      <c r="B789" s="57"/>
      <c r="C789" s="354"/>
      <c r="D789" s="1330" t="s">
        <v>649</v>
      </c>
      <c r="E789" s="1312"/>
      <c r="F789" s="1312"/>
      <c r="G789" s="3"/>
      <c r="I789" s="490"/>
    </row>
    <row r="790" spans="1:11" hidden="1">
      <c r="A790" s="57"/>
      <c r="B790" s="57"/>
      <c r="C790" s="354"/>
      <c r="D790" s="447"/>
      <c r="E790" s="447"/>
      <c r="F790" s="447"/>
      <c r="G790" s="3"/>
      <c r="I790" s="490"/>
    </row>
    <row r="791" spans="1:11" hidden="1">
      <c r="A791" s="57"/>
      <c r="B791" s="485" t="s">
        <v>444</v>
      </c>
      <c r="C791" s="354"/>
      <c r="D791" s="1325" t="s">
        <v>650</v>
      </c>
      <c r="E791" s="1312"/>
      <c r="F791" s="1312"/>
      <c r="G791" s="3"/>
      <c r="I791" s="483"/>
    </row>
    <row r="792" spans="1:11" hidden="1">
      <c r="A792" s="57"/>
      <c r="B792" s="57"/>
      <c r="C792" s="354"/>
      <c r="D792" s="1312"/>
      <c r="E792" s="1312"/>
      <c r="F792" s="1312"/>
      <c r="G792" s="3"/>
      <c r="I792" s="490"/>
    </row>
    <row r="793" spans="1:11" hidden="1">
      <c r="A793" s="174"/>
      <c r="B793" s="174"/>
      <c r="C793" s="174"/>
      <c r="D793" s="1312"/>
      <c r="E793" s="1312"/>
      <c r="F793" s="1312"/>
      <c r="G793" s="118"/>
      <c r="I793" s="490"/>
    </row>
    <row r="794" spans="1:11" hidden="1">
      <c r="A794" s="354"/>
      <c r="B794" s="354"/>
      <c r="C794" s="354"/>
      <c r="D794" s="173"/>
      <c r="E794" s="3"/>
      <c r="F794" s="3"/>
      <c r="G794" s="3"/>
      <c r="I794" s="490"/>
    </row>
    <row r="795" spans="1:11" hidden="1">
      <c r="A795" s="172"/>
      <c r="B795" s="485" t="s">
        <v>444</v>
      </c>
      <c r="C795" s="172"/>
      <c r="D795" s="1325" t="s">
        <v>651</v>
      </c>
      <c r="E795" s="1312"/>
      <c r="F795" s="1312"/>
      <c r="G795" s="3"/>
      <c r="I795" s="483"/>
    </row>
    <row r="796" spans="1:11" hidden="1">
      <c r="A796" s="172"/>
      <c r="B796" s="172"/>
      <c r="C796" s="172"/>
      <c r="D796" s="1312"/>
      <c r="E796" s="1312"/>
      <c r="F796" s="1312"/>
      <c r="G796" s="3"/>
      <c r="I796" s="490"/>
    </row>
    <row r="797" spans="1:11" hidden="1">
      <c r="A797" s="172"/>
      <c r="B797" s="172"/>
      <c r="C797" s="172"/>
      <c r="D797" s="1312"/>
      <c r="E797" s="1312"/>
      <c r="F797" s="1312"/>
      <c r="G797" s="3"/>
      <c r="I797" s="490"/>
    </row>
    <row r="798" spans="1:11" hidden="1">
      <c r="A798" s="174"/>
      <c r="B798" s="174"/>
      <c r="C798" s="174"/>
      <c r="D798" s="3"/>
      <c r="E798" s="983"/>
      <c r="F798" s="983"/>
      <c r="G798" s="983"/>
      <c r="I798" s="490"/>
    </row>
    <row r="799" spans="1:11" ht="14.4" hidden="1" customHeight="1">
      <c r="A799" s="175"/>
      <c r="B799" s="485" t="s">
        <v>444</v>
      </c>
      <c r="C799" s="984"/>
      <c r="D799" s="1325" t="s">
        <v>652</v>
      </c>
      <c r="E799" s="1312"/>
      <c r="F799" s="1312"/>
      <c r="G799" s="983"/>
      <c r="I799" s="483"/>
    </row>
    <row r="800" spans="1:11" ht="14.4" hidden="1" customHeight="1">
      <c r="A800" s="175"/>
      <c r="B800" s="175"/>
      <c r="C800" s="984"/>
      <c r="D800" s="1312"/>
      <c r="E800" s="1312"/>
      <c r="F800" s="1312"/>
      <c r="G800" s="983"/>
      <c r="I800" s="490"/>
    </row>
    <row r="801" spans="1:9" ht="14.4" hidden="1" customHeight="1">
      <c r="A801" s="175"/>
      <c r="B801" s="175"/>
      <c r="C801" s="984"/>
      <c r="D801" s="1312"/>
      <c r="E801" s="1312"/>
      <c r="F801" s="1312"/>
      <c r="G801" s="983"/>
      <c r="I801" s="490"/>
    </row>
    <row r="802" spans="1:9" ht="14.4" hidden="1" customHeight="1">
      <c r="A802" s="175"/>
      <c r="B802" s="175"/>
      <c r="C802" s="984"/>
      <c r="D802" s="118"/>
      <c r="E802" s="3"/>
      <c r="F802" s="3"/>
      <c r="G802" s="983"/>
      <c r="I802" s="490"/>
    </row>
    <row r="803" spans="1:9" ht="14.4" hidden="1" customHeight="1">
      <c r="A803" s="175"/>
      <c r="B803" s="485" t="s">
        <v>444</v>
      </c>
      <c r="C803" s="984"/>
      <c r="D803" s="1325" t="s">
        <v>653</v>
      </c>
      <c r="E803" s="1312"/>
      <c r="F803" s="1312"/>
      <c r="G803" s="983"/>
      <c r="I803" s="483"/>
    </row>
    <row r="804" spans="1:9" ht="14.4" hidden="1" customHeight="1">
      <c r="A804" s="175"/>
      <c r="B804" s="175"/>
      <c r="C804" s="984"/>
      <c r="D804" s="1312"/>
      <c r="E804" s="1312"/>
      <c r="F804" s="1312"/>
      <c r="G804" s="983"/>
      <c r="I804" s="490"/>
    </row>
    <row r="805" spans="1:9" ht="14.4" hidden="1" customHeight="1">
      <c r="A805" s="175"/>
      <c r="B805" s="175"/>
      <c r="C805" s="984"/>
      <c r="D805" s="1312"/>
      <c r="E805" s="1312"/>
      <c r="F805" s="1312"/>
      <c r="G805" s="983"/>
      <c r="I805" s="490"/>
    </row>
    <row r="806" spans="1:9" ht="14.4" hidden="1" customHeight="1">
      <c r="A806" s="175"/>
      <c r="B806" s="175"/>
      <c r="C806" s="984"/>
      <c r="D806" s="1312"/>
      <c r="E806" s="1312"/>
      <c r="F806" s="1312"/>
      <c r="G806" s="983"/>
      <c r="I806" s="490"/>
    </row>
    <row r="807" spans="1:9" ht="14.4" hidden="1" customHeight="1">
      <c r="A807" s="175"/>
      <c r="B807" s="175"/>
      <c r="C807" s="984"/>
      <c r="D807" s="1312"/>
      <c r="E807" s="1312"/>
      <c r="F807" s="1312"/>
      <c r="G807" s="983"/>
      <c r="I807" s="490"/>
    </row>
    <row r="808" spans="1:9" ht="14.4" hidden="1" customHeight="1">
      <c r="A808" s="175"/>
      <c r="B808" s="175"/>
      <c r="C808" s="984"/>
      <c r="D808" s="1312"/>
      <c r="E808" s="1312"/>
      <c r="F808" s="1312"/>
      <c r="G808" s="983"/>
      <c r="I808" s="490"/>
    </row>
    <row r="809" spans="1:9" ht="14.4" hidden="1" customHeight="1">
      <c r="A809" s="175"/>
      <c r="B809" s="175"/>
      <c r="C809" s="984"/>
      <c r="D809" s="1325" t="s">
        <v>654</v>
      </c>
      <c r="E809" s="1312"/>
      <c r="F809" s="1312"/>
      <c r="G809" s="983"/>
      <c r="I809" s="490"/>
    </row>
    <row r="810" spans="1:9" ht="14.4" hidden="1" customHeight="1">
      <c r="A810" s="175"/>
      <c r="B810" s="175"/>
      <c r="C810" s="984"/>
      <c r="D810" s="1312"/>
      <c r="E810" s="1312"/>
      <c r="F810" s="1312"/>
      <c r="G810" s="983"/>
      <c r="I810" s="490"/>
    </row>
    <row r="811" spans="1:9" ht="14.4" hidden="1" customHeight="1">
      <c r="A811" s="175"/>
      <c r="B811" s="175"/>
      <c r="C811" s="984"/>
      <c r="D811" s="1312"/>
      <c r="E811" s="1312"/>
      <c r="F811" s="1312"/>
      <c r="G811" s="983"/>
      <c r="I811" s="490"/>
    </row>
    <row r="812" spans="1:9" ht="14.4" hidden="1" customHeight="1">
      <c r="A812" s="175"/>
      <c r="B812" s="354"/>
      <c r="C812" s="984"/>
      <c r="D812" s="985"/>
      <c r="E812" s="985"/>
      <c r="F812" s="985"/>
      <c r="G812" s="983"/>
      <c r="I812" s="490"/>
    </row>
    <row r="813" spans="1:9" ht="14.4" hidden="1" customHeight="1">
      <c r="A813" s="175"/>
      <c r="B813" s="485" t="s">
        <v>444</v>
      </c>
      <c r="C813" s="984"/>
      <c r="D813" s="1325" t="s">
        <v>655</v>
      </c>
      <c r="E813" s="1312"/>
      <c r="F813" s="1312"/>
      <c r="G813" s="983"/>
      <c r="I813" s="483"/>
    </row>
    <row r="814" spans="1:9" ht="14.4" hidden="1" customHeight="1">
      <c r="A814" s="175"/>
      <c r="B814" s="175"/>
      <c r="C814" s="984"/>
      <c r="D814" s="1312"/>
      <c r="E814" s="1312"/>
      <c r="F814" s="1312"/>
      <c r="G814" s="983"/>
      <c r="I814" s="490"/>
    </row>
    <row r="815" spans="1:9" ht="14.4" hidden="1" customHeight="1">
      <c r="A815" s="175"/>
      <c r="B815" s="175"/>
      <c r="C815" s="984"/>
      <c r="D815" s="1312"/>
      <c r="E815" s="1312"/>
      <c r="F815" s="1312"/>
      <c r="G815" s="983"/>
      <c r="I815" s="490"/>
    </row>
    <row r="816" spans="1:9" ht="14.4" hidden="1" customHeight="1">
      <c r="A816" s="175"/>
      <c r="B816" s="175"/>
      <c r="C816" s="984"/>
      <c r="D816" s="1312"/>
      <c r="E816" s="1312"/>
      <c r="F816" s="1312"/>
      <c r="G816" s="983"/>
      <c r="I816" s="490"/>
    </row>
    <row r="817" spans="1:9" ht="14.4" hidden="1" customHeight="1">
      <c r="A817" s="175"/>
      <c r="B817" s="175"/>
      <c r="C817" s="984"/>
      <c r="D817" s="1312"/>
      <c r="E817" s="1312"/>
      <c r="F817" s="1312"/>
      <c r="G817" s="983"/>
      <c r="I817" s="490"/>
    </row>
    <row r="818" spans="1:9" ht="14.4" hidden="1" customHeight="1">
      <c r="A818" s="175"/>
      <c r="B818" s="175"/>
      <c r="C818" s="984"/>
      <c r="D818" s="1312"/>
      <c r="E818" s="1312"/>
      <c r="F818" s="1312"/>
      <c r="G818" s="983"/>
      <c r="I818" s="490"/>
    </row>
    <row r="819" spans="1:9" ht="14.4" hidden="1" customHeight="1">
      <c r="A819" s="175"/>
      <c r="B819" s="175"/>
      <c r="C819" s="984"/>
      <c r="D819" s="977"/>
      <c r="E819" s="977"/>
      <c r="F819" s="977"/>
      <c r="G819" s="983"/>
      <c r="I819" s="490"/>
    </row>
    <row r="820" spans="1:9" ht="14.4" hidden="1" customHeight="1">
      <c r="A820" s="175"/>
      <c r="B820" s="485" t="s">
        <v>444</v>
      </c>
      <c r="C820" s="984"/>
      <c r="D820" s="1325" t="s">
        <v>656</v>
      </c>
      <c r="E820" s="1312"/>
      <c r="F820" s="1312"/>
      <c r="G820" s="983"/>
      <c r="I820" s="483"/>
    </row>
    <row r="821" spans="1:9" ht="14.4" hidden="1" customHeight="1">
      <c r="A821" s="175"/>
      <c r="B821" s="175"/>
      <c r="C821" s="984"/>
      <c r="D821" s="1312"/>
      <c r="E821" s="1312"/>
      <c r="F821" s="1312"/>
      <c r="G821" s="983"/>
      <c r="I821" s="490"/>
    </row>
    <row r="822" spans="1:9" ht="14.4" hidden="1" customHeight="1">
      <c r="A822" s="175"/>
      <c r="B822" s="175"/>
      <c r="C822" s="984"/>
      <c r="D822" s="1312"/>
      <c r="E822" s="1312"/>
      <c r="F822" s="1312"/>
      <c r="G822" s="983"/>
      <c r="I822" s="490"/>
    </row>
    <row r="823" spans="1:9" ht="14.4" hidden="1" customHeight="1">
      <c r="A823" s="175"/>
      <c r="B823" s="175"/>
      <c r="C823" s="984"/>
      <c r="D823" s="1312"/>
      <c r="E823" s="1312"/>
      <c r="F823" s="1312"/>
      <c r="G823" s="983"/>
      <c r="I823" s="490"/>
    </row>
    <row r="824" spans="1:9" ht="14.4" hidden="1" customHeight="1">
      <c r="A824" s="175"/>
      <c r="B824" s="175"/>
      <c r="C824" s="984"/>
      <c r="D824" s="1312"/>
      <c r="E824" s="1312"/>
      <c r="F824" s="1312"/>
      <c r="G824" s="983"/>
      <c r="I824" s="490"/>
    </row>
    <row r="825" spans="1:9" ht="14.4" hidden="1" customHeight="1">
      <c r="A825" s="175"/>
      <c r="B825" s="175"/>
      <c r="C825" s="984"/>
      <c r="D825" s="1312"/>
      <c r="E825" s="1312"/>
      <c r="F825" s="1312"/>
      <c r="G825" s="983"/>
      <c r="I825" s="490"/>
    </row>
    <row r="826" spans="1:9" ht="14.4" hidden="1" customHeight="1">
      <c r="A826" s="175"/>
      <c r="B826" s="175"/>
      <c r="C826" s="984"/>
      <c r="D826" s="977"/>
      <c r="E826" s="977"/>
      <c r="F826" s="977"/>
      <c r="G826" s="983"/>
      <c r="I826" s="490"/>
    </row>
    <row r="827" spans="1:9" ht="14.4" hidden="1" customHeight="1">
      <c r="A827" s="175"/>
      <c r="B827" s="485" t="s">
        <v>444</v>
      </c>
      <c r="C827" s="984"/>
      <c r="D827" s="1359" t="s">
        <v>657</v>
      </c>
      <c r="E827" s="1312"/>
      <c r="F827" s="1312"/>
      <c r="G827" s="983"/>
      <c r="I827" s="483"/>
    </row>
    <row r="828" spans="1:9" ht="14.4" hidden="1" customHeight="1">
      <c r="A828" s="175"/>
      <c r="B828" s="175"/>
      <c r="C828" s="984"/>
      <c r="D828" s="1312"/>
      <c r="E828" s="1312"/>
      <c r="F828" s="1312"/>
      <c r="G828" s="983"/>
      <c r="I828" s="490"/>
    </row>
    <row r="829" spans="1:9" hidden="1">
      <c r="A829" s="13"/>
      <c r="B829" s="13"/>
      <c r="C829" s="984"/>
      <c r="D829" s="1312"/>
      <c r="E829" s="1312"/>
      <c r="F829" s="1312"/>
      <c r="G829" s="983"/>
      <c r="I829" s="490"/>
    </row>
    <row r="830" spans="1:9" ht="14.4" hidden="1" customHeight="1">
      <c r="A830" s="175"/>
      <c r="B830" s="13"/>
      <c r="C830" s="984"/>
      <c r="D830" s="1312"/>
      <c r="E830" s="1312"/>
      <c r="F830" s="1312"/>
      <c r="G830" s="983"/>
      <c r="I830" s="490"/>
    </row>
    <row r="831" spans="1:9" ht="12.75" hidden="1" customHeight="1">
      <c r="A831" s="175"/>
      <c r="B831" s="13"/>
      <c r="C831" s="984"/>
      <c r="D831" s="1312"/>
      <c r="E831" s="1312"/>
      <c r="F831" s="1312"/>
      <c r="G831" s="983"/>
      <c r="I831" s="490"/>
    </row>
    <row r="832" spans="1:9" ht="12.75" hidden="1" customHeight="1">
      <c r="A832" s="175"/>
      <c r="B832" s="13"/>
      <c r="C832" s="984"/>
      <c r="D832" s="1312"/>
      <c r="E832" s="1312"/>
      <c r="F832" s="1312"/>
      <c r="G832" s="983"/>
      <c r="I832" s="490"/>
    </row>
    <row r="833" spans="1:9" ht="12.75" hidden="1" customHeight="1">
      <c r="A833" s="13"/>
      <c r="B833" s="13"/>
      <c r="C833" s="984"/>
      <c r="D833" s="983"/>
      <c r="E833" s="3"/>
      <c r="F833" s="3"/>
      <c r="G833" s="983"/>
      <c r="I833" s="490"/>
    </row>
    <row r="834" spans="1:9" ht="12.75" customHeight="1">
      <c r="A834" s="1326" t="s">
        <v>658</v>
      </c>
      <c r="B834" s="1263"/>
      <c r="C834" s="1263"/>
      <c r="D834" s="1263"/>
      <c r="E834" s="1263"/>
      <c r="F834" s="1263"/>
      <c r="G834" s="1263"/>
      <c r="H834" s="1023"/>
      <c r="I834" s="1145"/>
    </row>
    <row r="835" spans="1:9" ht="12.75" customHeight="1">
      <c r="A835" s="172"/>
      <c r="B835" s="172"/>
      <c r="C835" s="984"/>
      <c r="D835" s="983"/>
      <c r="E835" s="983"/>
      <c r="F835" s="983"/>
      <c r="G835" s="983"/>
      <c r="I835" s="490"/>
    </row>
    <row r="836" spans="1:9" ht="12.75" customHeight="1">
      <c r="A836" s="175"/>
      <c r="B836" s="175"/>
      <c r="C836" s="354"/>
      <c r="D836" s="1345" t="s">
        <v>659</v>
      </c>
      <c r="E836" s="1312"/>
      <c r="F836" s="1312"/>
      <c r="G836" s="3"/>
      <c r="I836" s="490"/>
    </row>
    <row r="837" spans="1:9" ht="14.25" customHeight="1">
      <c r="A837" s="175"/>
      <c r="B837" s="175"/>
      <c r="C837" s="354"/>
      <c r="D837" s="1299" t="s">
        <v>660</v>
      </c>
      <c r="E837" s="1312"/>
      <c r="F837" s="1312"/>
      <c r="G837" s="3"/>
      <c r="I837" s="490"/>
    </row>
    <row r="838" spans="1:9" ht="12.75" customHeight="1">
      <c r="A838" s="175"/>
      <c r="B838" s="175"/>
      <c r="C838" s="354"/>
      <c r="D838" s="441"/>
      <c r="E838" s="441"/>
      <c r="F838" s="441"/>
      <c r="G838" s="3"/>
      <c r="I838" s="490"/>
    </row>
    <row r="839" spans="1:9" ht="12.75" customHeight="1">
      <c r="A839" s="354"/>
      <c r="B839" s="485" t="s">
        <v>2790</v>
      </c>
      <c r="C839" s="984"/>
      <c r="D839" s="1299" t="s">
        <v>661</v>
      </c>
      <c r="E839" s="1312"/>
      <c r="F839" s="1312"/>
      <c r="G839" s="3"/>
      <c r="I839" s="490" t="s">
        <v>662</v>
      </c>
    </row>
    <row r="840" spans="1:9" ht="14.25" customHeight="1">
      <c r="A840" s="13"/>
      <c r="B840" s="13"/>
      <c r="C840" s="984"/>
      <c r="E840" s="1031" t="s">
        <v>489</v>
      </c>
      <c r="F840" s="1032"/>
      <c r="G840" s="3"/>
      <c r="I840" s="490"/>
    </row>
    <row r="841" spans="1:9" ht="12.75" customHeight="1">
      <c r="A841" s="13"/>
      <c r="B841" s="13"/>
      <c r="C841" s="984"/>
      <c r="D841" s="986"/>
      <c r="E841" s="3"/>
      <c r="F841" s="3"/>
      <c r="G841" s="3"/>
      <c r="I841" s="490"/>
    </row>
    <row r="842" spans="1:9" ht="14.25" hidden="1" customHeight="1">
      <c r="A842" s="13"/>
      <c r="B842" s="485" t="s">
        <v>444</v>
      </c>
      <c r="C842" s="984"/>
      <c r="D842" s="1364" t="s">
        <v>663</v>
      </c>
      <c r="E842" s="1312"/>
      <c r="F842" s="1312"/>
      <c r="G842" s="3"/>
      <c r="I842" s="490"/>
    </row>
    <row r="843" spans="1:9" ht="12.75" hidden="1" customHeight="1">
      <c r="A843" s="13"/>
      <c r="B843" s="13"/>
      <c r="C843" s="984"/>
      <c r="D843" s="1312"/>
      <c r="E843" s="1312"/>
      <c r="F843" s="1312"/>
      <c r="G843" s="3"/>
      <c r="I843" s="490"/>
    </row>
    <row r="844" spans="1:9" ht="12.75" hidden="1" customHeight="1">
      <c r="A844" s="13"/>
      <c r="B844" s="13"/>
      <c r="C844" s="984"/>
      <c r="D844" s="1312"/>
      <c r="E844" s="1312"/>
      <c r="F844" s="1312"/>
      <c r="G844" s="3"/>
      <c r="I844" s="490"/>
    </row>
    <row r="845" spans="1:9" ht="12.75" hidden="1" customHeight="1">
      <c r="A845" s="13"/>
      <c r="B845" s="13"/>
      <c r="C845" s="984"/>
      <c r="D845" s="1312"/>
      <c r="E845" s="1312"/>
      <c r="F845" s="1312"/>
      <c r="G845" s="3"/>
      <c r="I845" s="490"/>
    </row>
    <row r="846" spans="1:9" ht="12.75" hidden="1" customHeight="1">
      <c r="A846" s="13"/>
      <c r="B846" s="13"/>
      <c r="C846" s="984"/>
      <c r="D846" s="1312"/>
      <c r="E846" s="1312"/>
      <c r="F846" s="1312"/>
      <c r="G846" s="3"/>
      <c r="I846" s="490"/>
    </row>
    <row r="847" spans="1:9" ht="12.75" hidden="1" customHeight="1">
      <c r="A847" s="13"/>
      <c r="B847" s="13"/>
      <c r="C847" s="984"/>
      <c r="D847" s="1312"/>
      <c r="E847" s="1312"/>
      <c r="F847" s="1312"/>
      <c r="G847" s="3"/>
      <c r="I847" s="490"/>
    </row>
    <row r="848" spans="1:9" ht="12.75" hidden="1" customHeight="1">
      <c r="A848" s="13"/>
      <c r="B848" s="13"/>
      <c r="C848" s="984"/>
      <c r="D848" s="1312"/>
      <c r="E848" s="1312"/>
      <c r="F848" s="1312"/>
      <c r="G848" s="3"/>
      <c r="I848" s="490"/>
    </row>
    <row r="849" spans="1:9" ht="12.75" hidden="1" customHeight="1">
      <c r="A849" s="13"/>
      <c r="B849" s="13"/>
      <c r="C849" s="984"/>
      <c r="D849" s="1312"/>
      <c r="E849" s="1312"/>
      <c r="F849" s="1312"/>
      <c r="G849" s="3"/>
      <c r="I849" s="490"/>
    </row>
    <row r="850" spans="1:9" ht="12.75" hidden="1" customHeight="1">
      <c r="A850" s="13"/>
      <c r="B850" s="13"/>
      <c r="C850" s="984"/>
      <c r="D850" s="1312"/>
      <c r="E850" s="1312"/>
      <c r="F850" s="1312"/>
      <c r="G850" s="3"/>
      <c r="I850" s="490"/>
    </row>
    <row r="851" spans="1:9" ht="12.75" hidden="1" customHeight="1">
      <c r="A851" s="13"/>
      <c r="B851" s="13"/>
      <c r="C851" s="984"/>
      <c r="D851" s="1312"/>
      <c r="E851" s="1312"/>
      <c r="F851" s="1312"/>
      <c r="G851" s="3"/>
      <c r="I851" s="490"/>
    </row>
    <row r="852" spans="1:9" ht="12.75" hidden="1" customHeight="1">
      <c r="A852" s="13"/>
      <c r="B852" s="13"/>
      <c r="C852" s="984"/>
      <c r="D852" s="986"/>
      <c r="E852" s="3"/>
      <c r="F852" s="3"/>
      <c r="G852" s="3"/>
      <c r="I852" s="490"/>
    </row>
    <row r="853" spans="1:9" ht="12.75" customHeight="1">
      <c r="A853" s="175"/>
      <c r="B853" s="485" t="s">
        <v>2790</v>
      </c>
      <c r="C853" s="984"/>
      <c r="D853" s="1299" t="s">
        <v>664</v>
      </c>
      <c r="E853" s="1312"/>
      <c r="F853" s="1312"/>
      <c r="G853" s="3"/>
      <c r="I853" s="490" t="s">
        <v>665</v>
      </c>
    </row>
    <row r="854" spans="1:9" ht="12.75" customHeight="1">
      <c r="A854" s="175"/>
      <c r="B854" s="175"/>
      <c r="C854" s="984"/>
      <c r="D854" s="1312"/>
      <c r="E854" s="1312"/>
      <c r="F854" s="1312"/>
      <c r="G854" s="3"/>
      <c r="I854" s="490"/>
    </row>
    <row r="855" spans="1:9" ht="12.75" customHeight="1">
      <c r="A855" s="175"/>
      <c r="B855" s="175"/>
      <c r="C855" s="984"/>
      <c r="D855" s="1312"/>
      <c r="E855" s="1312"/>
      <c r="F855" s="1312"/>
      <c r="G855" s="3"/>
      <c r="I855" s="490"/>
    </row>
    <row r="856" spans="1:9" ht="12.75" customHeight="1">
      <c r="A856" s="175"/>
      <c r="B856" s="175"/>
      <c r="C856" s="984"/>
      <c r="D856" s="118"/>
      <c r="E856" s="3"/>
      <c r="F856" s="3"/>
      <c r="G856" s="3"/>
      <c r="I856" s="490"/>
    </row>
    <row r="857" spans="1:9" ht="12.75" customHeight="1">
      <c r="A857" s="987"/>
      <c r="B857" s="485" t="s">
        <v>427</v>
      </c>
      <c r="C857" s="984"/>
      <c r="D857" s="1345" t="s">
        <v>666</v>
      </c>
      <c r="E857" s="1312"/>
      <c r="F857" s="1312"/>
      <c r="G857" s="3"/>
      <c r="I857" s="490"/>
    </row>
    <row r="858" spans="1:9" ht="12.75" customHeight="1">
      <c r="A858" s="354"/>
      <c r="B858" s="987"/>
      <c r="C858" s="984"/>
      <c r="D858" s="1312"/>
      <c r="E858" s="1312"/>
      <c r="F858" s="1312"/>
      <c r="G858" s="3"/>
      <c r="I858" s="490"/>
    </row>
    <row r="859" spans="1:9" ht="12.75" customHeight="1">
      <c r="A859" s="175"/>
      <c r="B859" s="354"/>
      <c r="C859" s="984"/>
      <c r="D859" s="1299" t="s">
        <v>667</v>
      </c>
      <c r="E859" s="1312"/>
      <c r="F859" s="1312"/>
      <c r="G859" s="3"/>
      <c r="I859" s="490"/>
    </row>
    <row r="860" spans="1:9" ht="12.75" customHeight="1">
      <c r="A860" s="175"/>
      <c r="B860" s="175"/>
      <c r="C860" s="984"/>
      <c r="D860" s="1312"/>
      <c r="E860" s="1312"/>
      <c r="F860" s="1312"/>
      <c r="G860" s="3"/>
      <c r="I860" s="490"/>
    </row>
    <row r="861" spans="1:9" ht="12.75" customHeight="1">
      <c r="A861" s="175"/>
      <c r="B861" s="175"/>
      <c r="C861" s="984"/>
      <c r="D861" s="1312"/>
      <c r="E861" s="1312"/>
      <c r="F861" s="1312"/>
      <c r="G861" s="3"/>
      <c r="I861" s="490"/>
    </row>
    <row r="862" spans="1:9" ht="12.75" customHeight="1">
      <c r="A862" s="175"/>
      <c r="B862" s="175"/>
      <c r="C862" s="984"/>
      <c r="D862" s="1312"/>
      <c r="E862" s="1312"/>
      <c r="F862" s="1312"/>
      <c r="G862" s="3"/>
      <c r="I862" s="490"/>
    </row>
    <row r="863" spans="1:9" ht="12.75" customHeight="1">
      <c r="A863" s="175"/>
      <c r="B863" s="175"/>
      <c r="C863" s="984"/>
      <c r="D863" s="1312"/>
      <c r="E863" s="1312"/>
      <c r="F863" s="1312"/>
      <c r="G863" s="3"/>
      <c r="I863" s="490"/>
    </row>
    <row r="864" spans="1:9" ht="12.75" customHeight="1">
      <c r="A864" s="175"/>
      <c r="B864" s="175"/>
      <c r="C864" s="984"/>
      <c r="D864" s="1312"/>
      <c r="E864" s="1312"/>
      <c r="F864" s="1312"/>
      <c r="G864" s="3"/>
      <c r="I864" s="490"/>
    </row>
    <row r="865" spans="1:9" ht="12.75" customHeight="1">
      <c r="A865" s="175"/>
      <c r="B865" s="175"/>
      <c r="C865" s="984"/>
      <c r="D865" s="118"/>
      <c r="E865" s="3"/>
      <c r="F865" s="3"/>
      <c r="G865" s="3"/>
      <c r="I865" s="490"/>
    </row>
    <row r="866" spans="1:9" ht="12.75" customHeight="1">
      <c r="A866" s="175"/>
      <c r="B866" s="485" t="s">
        <v>427</v>
      </c>
      <c r="C866" s="984"/>
      <c r="D866" s="1299" t="s">
        <v>668</v>
      </c>
      <c r="E866" s="1312"/>
      <c r="F866" s="1312"/>
      <c r="G866" s="3"/>
      <c r="I866" s="490" t="s">
        <v>669</v>
      </c>
    </row>
    <row r="867" spans="1:9" ht="12.75" customHeight="1">
      <c r="A867" s="175"/>
      <c r="B867" s="175"/>
      <c r="C867" s="984"/>
      <c r="D867" s="1299" t="s">
        <v>670</v>
      </c>
      <c r="E867" s="1312"/>
      <c r="F867" s="1312"/>
      <c r="G867" s="3"/>
      <c r="I867" s="490"/>
    </row>
    <row r="868" spans="1:9" ht="12.75" customHeight="1">
      <c r="A868" s="175"/>
      <c r="B868" s="175"/>
      <c r="C868" s="984"/>
      <c r="E868" s="1031" t="s">
        <v>498</v>
      </c>
      <c r="F868" s="1032"/>
      <c r="G868" s="3"/>
      <c r="I868" s="490"/>
    </row>
    <row r="869" spans="1:9" ht="12.75" customHeight="1">
      <c r="A869" s="175"/>
      <c r="B869" s="175"/>
      <c r="C869" s="984"/>
      <c r="D869" s="118"/>
      <c r="E869" s="3"/>
      <c r="F869" s="3"/>
      <c r="G869" s="3"/>
      <c r="I869" s="490"/>
    </row>
    <row r="870" spans="1:9" ht="12.75" customHeight="1">
      <c r="A870" s="175"/>
      <c r="B870" s="485" t="s">
        <v>427</v>
      </c>
      <c r="C870" s="984"/>
      <c r="D870" s="1299" t="s">
        <v>671</v>
      </c>
      <c r="E870" s="1312"/>
      <c r="F870" s="1312"/>
      <c r="G870" s="3"/>
      <c r="I870" s="490" t="s">
        <v>672</v>
      </c>
    </row>
    <row r="871" spans="1:9" ht="12.75" customHeight="1">
      <c r="A871" s="175"/>
      <c r="B871" s="175"/>
      <c r="C871" s="984"/>
      <c r="D871" s="1312"/>
      <c r="E871" s="1312"/>
      <c r="F871" s="1312"/>
      <c r="G871" s="3"/>
      <c r="I871" s="490"/>
    </row>
    <row r="872" spans="1:9" ht="12.75" customHeight="1">
      <c r="A872" s="175"/>
      <c r="B872" s="175"/>
      <c r="C872" s="984"/>
      <c r="D872" s="1312"/>
      <c r="E872" s="1312"/>
      <c r="F872" s="1312"/>
      <c r="G872" s="3"/>
      <c r="I872" s="490"/>
    </row>
    <row r="873" spans="1:9" ht="12.75" customHeight="1">
      <c r="A873" s="175"/>
      <c r="B873" s="175"/>
      <c r="C873" s="984"/>
      <c r="D873" s="1312"/>
      <c r="E873" s="1312"/>
      <c r="F873" s="1312"/>
      <c r="G873" s="3"/>
      <c r="I873" s="490"/>
    </row>
    <row r="874" spans="1:9" ht="12.75" customHeight="1">
      <c r="A874" s="172"/>
      <c r="B874" s="172"/>
      <c r="C874" s="172"/>
      <c r="D874" s="118"/>
      <c r="E874" s="3"/>
      <c r="F874" s="3"/>
      <c r="G874" s="3"/>
      <c r="I874" s="490"/>
    </row>
    <row r="875" spans="1:9" ht="12.75" customHeight="1">
      <c r="A875" s="978" t="s">
        <v>673</v>
      </c>
      <c r="B875" s="978"/>
      <c r="C875" s="988"/>
      <c r="D875" s="988"/>
      <c r="E875" s="988"/>
      <c r="F875" s="988"/>
      <c r="G875" s="988"/>
      <c r="H875" s="1023"/>
      <c r="I875" s="1145"/>
    </row>
    <row r="876" spans="1:9" ht="12.75" customHeight="1">
      <c r="A876" s="172"/>
      <c r="B876" s="172"/>
      <c r="C876" s="172"/>
      <c r="D876" s="989"/>
      <c r="E876" s="3"/>
      <c r="F876" s="3"/>
      <c r="G876" s="3"/>
      <c r="I876" s="490"/>
    </row>
    <row r="877" spans="1:9" ht="12.75" customHeight="1">
      <c r="A877" s="354"/>
      <c r="B877" s="354"/>
      <c r="C877" s="174"/>
      <c r="D877" s="1318" t="s">
        <v>674</v>
      </c>
      <c r="E877" s="1312"/>
      <c r="F877" s="1312"/>
      <c r="G877" s="983"/>
      <c r="I877" s="490"/>
    </row>
    <row r="878" spans="1:9" ht="12.75" customHeight="1">
      <c r="A878" s="354"/>
      <c r="B878" s="354"/>
      <c r="C878" s="174"/>
      <c r="D878" s="1355" t="s">
        <v>675</v>
      </c>
      <c r="E878" s="1312"/>
      <c r="F878" s="1312"/>
      <c r="G878" s="983"/>
      <c r="I878" s="490"/>
    </row>
    <row r="879" spans="1:9" ht="12.75" customHeight="1">
      <c r="A879" s="354"/>
      <c r="B879" s="354"/>
      <c r="C879" s="174"/>
      <c r="D879" s="990"/>
      <c r="E879" s="990"/>
      <c r="F879" s="990"/>
      <c r="G879" s="983"/>
      <c r="I879" s="490"/>
    </row>
    <row r="880" spans="1:9" ht="12.75" customHeight="1">
      <c r="A880" s="175"/>
      <c r="B880" s="485" t="s">
        <v>2790</v>
      </c>
      <c r="C880" s="354"/>
      <c r="D880" s="1311" t="s">
        <v>676</v>
      </c>
      <c r="E880" s="1312"/>
      <c r="F880" s="1312"/>
      <c r="G880" s="983"/>
      <c r="I880" s="490" t="s">
        <v>669</v>
      </c>
    </row>
    <row r="881" spans="1:9" ht="12.75" customHeight="1">
      <c r="A881" s="354"/>
      <c r="B881" s="354"/>
      <c r="C881" s="354"/>
      <c r="D881" s="2" t="s">
        <v>469</v>
      </c>
      <c r="E881" s="1031" t="s">
        <v>498</v>
      </c>
      <c r="F881" s="1033"/>
      <c r="G881" s="983"/>
      <c r="I881" s="490"/>
    </row>
    <row r="882" spans="1:9" ht="12.75" customHeight="1">
      <c r="A882" s="354"/>
      <c r="B882" s="354"/>
      <c r="C882" s="354"/>
      <c r="D882" s="118"/>
      <c r="E882" s="983"/>
      <c r="F882" s="983"/>
      <c r="G882" s="983"/>
      <c r="I882" s="490"/>
    </row>
    <row r="883" spans="1:9" ht="12.75" customHeight="1">
      <c r="A883" s="175"/>
      <c r="B883" s="485" t="s">
        <v>2790</v>
      </c>
      <c r="C883" s="354"/>
      <c r="D883" s="1299" t="s">
        <v>677</v>
      </c>
      <c r="E883" s="1312"/>
      <c r="F883" s="1312"/>
      <c r="G883" s="3"/>
      <c r="I883" s="490" t="s">
        <v>672</v>
      </c>
    </row>
    <row r="884" spans="1:9" ht="12.75" customHeight="1">
      <c r="A884" s="354"/>
      <c r="B884" s="354"/>
      <c r="C884" s="354"/>
      <c r="D884" s="1312"/>
      <c r="E884" s="1312"/>
      <c r="F884" s="1312"/>
      <c r="G884" s="3"/>
      <c r="I884" s="490"/>
    </row>
    <row r="885" spans="1:9" ht="12.75" customHeight="1">
      <c r="A885" s="354"/>
      <c r="B885" s="354"/>
      <c r="C885" s="354"/>
      <c r="D885" s="118"/>
      <c r="E885" s="3"/>
      <c r="F885" s="3"/>
      <c r="G885" s="3"/>
      <c r="I885" s="490"/>
    </row>
    <row r="886" spans="1:9" ht="12.75" customHeight="1">
      <c r="A886" s="354"/>
      <c r="B886" s="485" t="s">
        <v>427</v>
      </c>
      <c r="C886" s="354"/>
      <c r="D886" s="1348" t="s">
        <v>678</v>
      </c>
      <c r="E886" s="1312"/>
      <c r="F886" s="1312"/>
      <c r="G886" s="983"/>
      <c r="I886" s="490"/>
    </row>
    <row r="887" spans="1:9" ht="12.75" customHeight="1">
      <c r="A887" s="354"/>
      <c r="B887" s="991"/>
      <c r="C887" s="354"/>
      <c r="D887" s="1312"/>
      <c r="E887" s="1312"/>
      <c r="F887" s="1312"/>
      <c r="G887" s="983"/>
      <c r="I887" s="490"/>
    </row>
    <row r="888" spans="1:9" ht="12.75" customHeight="1">
      <c r="A888" s="175"/>
      <c r="C888" s="354"/>
      <c r="D888" s="1299" t="s">
        <v>667</v>
      </c>
      <c r="E888" s="1312"/>
      <c r="F888" s="1312"/>
      <c r="G888" s="983"/>
      <c r="I888" s="490"/>
    </row>
    <row r="889" spans="1:9" ht="12.75" customHeight="1">
      <c r="A889" s="175"/>
      <c r="B889" s="175"/>
      <c r="C889" s="354"/>
      <c r="D889" s="1312"/>
      <c r="E889" s="1312"/>
      <c r="F889" s="1312"/>
      <c r="G889" s="983"/>
      <c r="I889" s="490"/>
    </row>
    <row r="890" spans="1:9" ht="12.75" customHeight="1">
      <c r="A890" s="175"/>
      <c r="B890" s="175"/>
      <c r="C890" s="354"/>
      <c r="D890" s="1312"/>
      <c r="E890" s="1312"/>
      <c r="F890" s="1312"/>
      <c r="G890" s="983"/>
      <c r="I890" s="490"/>
    </row>
    <row r="891" spans="1:9" ht="12.75" customHeight="1">
      <c r="A891" s="175"/>
      <c r="B891" s="175"/>
      <c r="C891" s="354"/>
      <c r="D891" s="1312"/>
      <c r="E891" s="1312"/>
      <c r="F891" s="1312"/>
      <c r="G891" s="983"/>
      <c r="I891" s="490"/>
    </row>
    <row r="892" spans="1:9" ht="12.75" customHeight="1">
      <c r="A892" s="175"/>
      <c r="B892" s="175"/>
      <c r="C892" s="354"/>
      <c r="D892" s="1312"/>
      <c r="E892" s="1312"/>
      <c r="F892" s="1312"/>
      <c r="G892" s="983"/>
      <c r="I892" s="490"/>
    </row>
    <row r="893" spans="1:9" ht="12.75" customHeight="1">
      <c r="A893" s="175"/>
      <c r="B893" s="175"/>
      <c r="C893" s="354"/>
      <c r="D893" s="1312"/>
      <c r="E893" s="1312"/>
      <c r="F893" s="1312"/>
      <c r="G893" s="983"/>
      <c r="I893" s="490"/>
    </row>
    <row r="894" spans="1:9" ht="12.75" customHeight="1">
      <c r="A894" s="175"/>
      <c r="B894" s="175"/>
      <c r="C894" s="354"/>
      <c r="D894" s="118"/>
      <c r="E894" s="983"/>
      <c r="F894" s="983"/>
      <c r="G894" s="983"/>
      <c r="I894" s="490"/>
    </row>
    <row r="895" spans="1:9" ht="12.75" customHeight="1">
      <c r="A895" s="175"/>
      <c r="B895" s="485" t="s">
        <v>427</v>
      </c>
      <c r="C895" s="354"/>
      <c r="D895" s="1334" t="s">
        <v>668</v>
      </c>
      <c r="E895" s="1312"/>
      <c r="F895" s="1312"/>
      <c r="G895" s="983"/>
      <c r="I895" s="490"/>
    </row>
    <row r="896" spans="1:9" ht="12.75" customHeight="1">
      <c r="A896" s="175"/>
      <c r="B896" s="175"/>
      <c r="C896" s="354"/>
      <c r="D896" s="1334" t="s">
        <v>670</v>
      </c>
      <c r="E896" s="1312"/>
      <c r="F896" s="1312"/>
      <c r="G896" s="983"/>
      <c r="I896" s="490"/>
    </row>
    <row r="897" spans="1:9" ht="12.75" customHeight="1">
      <c r="A897" s="175"/>
      <c r="B897" s="175"/>
      <c r="C897" s="354"/>
      <c r="D897" s="2" t="s">
        <v>679</v>
      </c>
      <c r="E897" s="1031" t="s">
        <v>498</v>
      </c>
      <c r="F897" s="1034"/>
      <c r="G897" s="983"/>
      <c r="I897" s="490"/>
    </row>
    <row r="898" spans="1:9" ht="12.75" customHeight="1">
      <c r="A898" s="175"/>
      <c r="B898" s="175"/>
      <c r="C898" s="354"/>
      <c r="D898" s="118"/>
      <c r="E898" s="983"/>
      <c r="F898" s="983"/>
      <c r="G898" s="983"/>
      <c r="I898" s="490"/>
    </row>
    <row r="899" spans="1:9" ht="12.75" customHeight="1">
      <c r="A899" s="175"/>
      <c r="B899" s="485" t="s">
        <v>427</v>
      </c>
      <c r="C899" s="354"/>
      <c r="D899" s="1299" t="s">
        <v>671</v>
      </c>
      <c r="E899" s="1312"/>
      <c r="F899" s="1312"/>
      <c r="G899" s="983"/>
      <c r="I899" s="490"/>
    </row>
    <row r="900" spans="1:9" ht="12.75" customHeight="1">
      <c r="A900" s="175"/>
      <c r="B900" s="175"/>
      <c r="C900" s="354"/>
      <c r="D900" s="1312"/>
      <c r="E900" s="1312"/>
      <c r="F900" s="1312"/>
      <c r="G900" s="983"/>
      <c r="I900" s="490"/>
    </row>
    <row r="901" spans="1:9" ht="12.75" customHeight="1">
      <c r="A901" s="175"/>
      <c r="B901" s="175"/>
      <c r="C901" s="354"/>
      <c r="D901" s="1312"/>
      <c r="E901" s="1312"/>
      <c r="F901" s="1312"/>
      <c r="G901" s="983"/>
      <c r="I901" s="490"/>
    </row>
    <row r="902" spans="1:9" ht="12.75" customHeight="1">
      <c r="A902" s="175"/>
      <c r="B902" s="175"/>
      <c r="C902" s="354"/>
      <c r="D902" s="1312"/>
      <c r="E902" s="1312"/>
      <c r="F902" s="1312"/>
      <c r="G902" s="983"/>
      <c r="I902" s="490"/>
    </row>
    <row r="903" spans="1:9" ht="12.75" customHeight="1">
      <c r="A903" s="118"/>
      <c r="B903" s="118"/>
      <c r="C903" s="984"/>
      <c r="D903" s="983"/>
      <c r="E903" s="983"/>
      <c r="F903" s="983"/>
      <c r="G903" s="983"/>
      <c r="I903" s="490"/>
    </row>
    <row r="904" spans="1:9" ht="12.75" customHeight="1">
      <c r="A904" s="1326" t="s">
        <v>680</v>
      </c>
      <c r="B904" s="1263"/>
      <c r="C904" s="1263"/>
      <c r="D904" s="1263"/>
      <c r="E904" s="1263"/>
      <c r="F904" s="1263"/>
      <c r="G904" s="1263"/>
      <c r="H904" s="1023"/>
      <c r="I904" s="1145"/>
    </row>
    <row r="905" spans="1:9" ht="12.75" customHeight="1">
      <c r="A905" s="57"/>
      <c r="B905" s="57"/>
      <c r="C905" s="57"/>
      <c r="D905" s="57"/>
      <c r="E905" s="57"/>
      <c r="F905" s="57"/>
      <c r="G905" s="57"/>
      <c r="I905" s="490"/>
    </row>
    <row r="906" spans="1:9" ht="12.75" customHeight="1">
      <c r="A906" s="57"/>
      <c r="B906" s="57"/>
      <c r="C906" s="57"/>
      <c r="D906" s="1347" t="s">
        <v>681</v>
      </c>
      <c r="E906" s="1312"/>
      <c r="F906" s="1312"/>
      <c r="G906" s="57"/>
      <c r="I906" s="490"/>
    </row>
    <row r="907" spans="1:9" ht="12.75" customHeight="1">
      <c r="A907" s="57"/>
      <c r="B907" s="57"/>
      <c r="C907" s="57"/>
      <c r="D907" s="976"/>
      <c r="E907" s="976"/>
      <c r="F907" s="976"/>
      <c r="G907" s="57"/>
      <c r="I907" s="490"/>
    </row>
    <row r="908" spans="1:9" ht="12.75" customHeight="1">
      <c r="A908" s="57"/>
      <c r="B908" s="485" t="s">
        <v>2790</v>
      </c>
      <c r="C908" s="57"/>
      <c r="D908" s="979" t="s">
        <v>682</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347" t="s">
        <v>683</v>
      </c>
      <c r="E910" s="1312"/>
      <c r="F910" s="1312"/>
      <c r="G910" s="983"/>
      <c r="I910" s="490"/>
    </row>
    <row r="911" spans="1:9" ht="12.75" customHeight="1">
      <c r="A911" s="172"/>
      <c r="B911" s="172"/>
      <c r="C911" s="172"/>
      <c r="D911" s="1311" t="s">
        <v>684</v>
      </c>
      <c r="E911" s="1312"/>
      <c r="F911" s="1312"/>
      <c r="G911" s="983"/>
      <c r="I911" s="490"/>
    </row>
    <row r="912" spans="1:9" ht="12.75" customHeight="1">
      <c r="A912" s="984"/>
      <c r="B912" s="984"/>
      <c r="C912" s="984"/>
      <c r="D912" s="2"/>
      <c r="E912" s="983"/>
      <c r="F912" s="983"/>
      <c r="G912" s="983"/>
      <c r="I912" s="490"/>
    </row>
    <row r="913" spans="1:9" ht="12.75" customHeight="1">
      <c r="A913" s="175"/>
      <c r="B913" s="485" t="s">
        <v>2790</v>
      </c>
      <c r="C913" s="354"/>
      <c r="D913" s="1299" t="s">
        <v>685</v>
      </c>
      <c r="E913" s="1312"/>
      <c r="F913" s="1312"/>
      <c r="G913" s="3"/>
      <c r="I913" s="490"/>
    </row>
    <row r="914" spans="1:9" ht="12.75" customHeight="1">
      <c r="A914" s="354"/>
      <c r="B914" s="354"/>
      <c r="C914" s="354"/>
      <c r="D914" s="1312"/>
      <c r="E914" s="1312"/>
      <c r="F914" s="1312"/>
      <c r="G914" s="3"/>
      <c r="I914" s="490"/>
    </row>
    <row r="915" spans="1:9" ht="12.75" customHeight="1">
      <c r="A915" s="172"/>
      <c r="B915" s="172"/>
      <c r="C915" s="172"/>
      <c r="D915" s="1299" t="s">
        <v>686</v>
      </c>
      <c r="E915" s="1312"/>
      <c r="F915" s="1312"/>
      <c r="G915" s="983"/>
      <c r="I915" s="490"/>
    </row>
    <row r="916" spans="1:9" ht="12.75" customHeight="1">
      <c r="A916" s="172"/>
      <c r="B916" s="172"/>
      <c r="C916" s="172"/>
      <c r="D916" s="1312"/>
      <c r="E916" s="1312"/>
      <c r="F916" s="1312"/>
      <c r="G916" s="983"/>
      <c r="I916" s="490"/>
    </row>
    <row r="917" spans="1:9" ht="12.75" customHeight="1">
      <c r="A917" s="172"/>
      <c r="B917" s="172"/>
      <c r="C917" s="172"/>
      <c r="D917" s="3"/>
      <c r="E917" s="3"/>
      <c r="F917" s="983"/>
      <c r="G917" s="983"/>
      <c r="I917" s="490"/>
    </row>
    <row r="918" spans="1:9" ht="12.75" customHeight="1">
      <c r="A918" s="175"/>
      <c r="B918" s="485" t="s">
        <v>2790</v>
      </c>
      <c r="C918" s="174"/>
      <c r="D918" s="1303" t="s">
        <v>687</v>
      </c>
      <c r="E918" s="1312"/>
      <c r="F918" s="1312"/>
      <c r="G918" s="983"/>
      <c r="I918" s="490"/>
    </row>
    <row r="919" spans="1:9" ht="12.75" customHeight="1">
      <c r="A919" s="175"/>
      <c r="B919" s="175"/>
      <c r="C919" s="174"/>
      <c r="D919" s="1312"/>
      <c r="E919" s="1312"/>
      <c r="F919" s="1312"/>
      <c r="G919" s="983"/>
      <c r="I919" s="490"/>
    </row>
    <row r="920" spans="1:9" ht="12.75" customHeight="1">
      <c r="A920" s="175"/>
      <c r="B920" s="175"/>
      <c r="C920" s="174"/>
      <c r="D920" s="1312"/>
      <c r="E920" s="1312"/>
      <c r="F920" s="1312"/>
      <c r="G920" s="983"/>
      <c r="I920" s="490"/>
    </row>
    <row r="921" spans="1:9" ht="12.75" customHeight="1">
      <c r="A921" s="175"/>
      <c r="B921" s="175"/>
      <c r="C921" s="174"/>
      <c r="D921" s="1312"/>
      <c r="E921" s="1312"/>
      <c r="F921" s="1312"/>
      <c r="G921" s="983"/>
      <c r="I921" s="490"/>
    </row>
    <row r="922" spans="1:9" ht="12.75" customHeight="1">
      <c r="A922" s="175"/>
      <c r="B922" s="175"/>
      <c r="C922" s="174"/>
      <c r="D922" s="1312"/>
      <c r="E922" s="1312"/>
      <c r="F922" s="1312"/>
      <c r="G922" s="983"/>
      <c r="I922" s="490"/>
    </row>
    <row r="923" spans="1:9" ht="12.75" customHeight="1">
      <c r="A923" s="174"/>
      <c r="B923" s="174"/>
      <c r="C923" s="174"/>
      <c r="D923" s="1312"/>
      <c r="E923" s="1312"/>
      <c r="F923" s="1312"/>
      <c r="G923" s="983"/>
      <c r="I923" s="490"/>
    </row>
    <row r="924" spans="1:9" ht="12.75" customHeight="1">
      <c r="A924" s="174"/>
      <c r="B924" s="174"/>
      <c r="C924" s="174"/>
      <c r="D924" s="1312"/>
      <c r="E924" s="1312"/>
      <c r="F924" s="1312"/>
      <c r="G924" s="983"/>
      <c r="I924" s="490"/>
    </row>
    <row r="925" spans="1:9" ht="12.75" customHeight="1">
      <c r="A925" s="174"/>
      <c r="B925" s="174"/>
      <c r="C925" s="174"/>
      <c r="D925" s="1312"/>
      <c r="E925" s="1312"/>
      <c r="F925" s="1312"/>
      <c r="G925" s="983"/>
      <c r="I925" s="490"/>
    </row>
    <row r="926" spans="1:9" ht="12.75" customHeight="1">
      <c r="A926" s="174"/>
      <c r="B926" s="174"/>
      <c r="C926" s="174"/>
      <c r="D926" s="335"/>
      <c r="E926" s="335"/>
      <c r="F926" s="335"/>
      <c r="G926" s="983"/>
      <c r="I926" s="490"/>
    </row>
    <row r="927" spans="1:9" ht="12.75" customHeight="1">
      <c r="A927" s="984"/>
      <c r="B927" s="485" t="s">
        <v>427</v>
      </c>
      <c r="C927" s="984"/>
      <c r="D927" s="1299" t="s">
        <v>688</v>
      </c>
      <c r="E927" s="1312"/>
      <c r="F927" s="1312"/>
      <c r="G927" s="983"/>
      <c r="I927" s="490"/>
    </row>
    <row r="928" spans="1:9" ht="12.75" customHeight="1">
      <c r="A928" s="984"/>
      <c r="B928" s="984"/>
      <c r="C928" s="984"/>
      <c r="D928" s="1312"/>
      <c r="E928" s="1312"/>
      <c r="F928" s="1312"/>
      <c r="G928" s="983"/>
      <c r="I928" s="490"/>
    </row>
    <row r="929" spans="1:9" ht="12.75" customHeight="1">
      <c r="A929" s="984"/>
      <c r="B929" s="984"/>
      <c r="C929" s="984"/>
      <c r="D929" s="983"/>
      <c r="E929" s="983"/>
      <c r="F929" s="983"/>
      <c r="G929" s="983"/>
      <c r="I929" s="490"/>
    </row>
    <row r="930" spans="1:9" ht="12.75" customHeight="1">
      <c r="A930" s="984"/>
      <c r="B930" s="485" t="s">
        <v>427</v>
      </c>
      <c r="C930" s="984"/>
      <c r="D930" s="1359" t="s">
        <v>689</v>
      </c>
      <c r="E930" s="1312"/>
      <c r="F930" s="1312"/>
      <c r="G930" s="983"/>
      <c r="I930" s="490"/>
    </row>
    <row r="931" spans="1:9" ht="12.75" customHeight="1">
      <c r="A931" s="984"/>
      <c r="B931" s="984"/>
      <c r="C931" s="984"/>
      <c r="D931" s="1312"/>
      <c r="E931" s="1312"/>
      <c r="F931" s="1312"/>
      <c r="G931" s="983"/>
      <c r="I931" s="490"/>
    </row>
    <row r="932" spans="1:9" ht="12.75" customHeight="1">
      <c r="A932" s="984"/>
      <c r="B932" s="984"/>
      <c r="C932" s="984"/>
      <c r="D932" s="1312"/>
      <c r="E932" s="1312"/>
      <c r="F932" s="1312"/>
      <c r="G932" s="983"/>
      <c r="I932" s="490"/>
    </row>
    <row r="933" spans="1:9" ht="12.75" customHeight="1">
      <c r="A933" s="984"/>
      <c r="B933" s="984"/>
      <c r="C933" s="984"/>
      <c r="D933" s="1312"/>
      <c r="E933" s="1312"/>
      <c r="F933" s="1312"/>
      <c r="G933" s="983"/>
      <c r="I933" s="490"/>
    </row>
    <row r="934" spans="1:9" ht="12.75" customHeight="1">
      <c r="A934" s="984"/>
      <c r="B934" s="984"/>
      <c r="C934" s="984"/>
      <c r="D934" s="118"/>
      <c r="E934" s="983"/>
      <c r="F934" s="983"/>
      <c r="G934" s="983"/>
      <c r="I934" s="490"/>
    </row>
    <row r="935" spans="1:9" ht="12.75" customHeight="1">
      <c r="A935" s="984"/>
      <c r="B935" s="485" t="s">
        <v>427</v>
      </c>
      <c r="C935" s="984"/>
      <c r="D935" s="1311" t="s">
        <v>690</v>
      </c>
      <c r="E935" s="1312"/>
      <c r="F935" s="1312"/>
      <c r="G935" s="983"/>
      <c r="I935" s="490"/>
    </row>
    <row r="936" spans="1:9" ht="12.75" customHeight="1">
      <c r="A936" s="984"/>
      <c r="B936" s="984"/>
      <c r="C936" s="984"/>
      <c r="D936" s="118"/>
      <c r="E936" s="983"/>
      <c r="F936" s="983"/>
      <c r="G936" s="983"/>
      <c r="I936" s="490"/>
    </row>
    <row r="937" spans="1:9" ht="12.75" customHeight="1">
      <c r="A937" s="984"/>
      <c r="B937" s="485" t="s">
        <v>427</v>
      </c>
      <c r="C937" s="984"/>
      <c r="D937" s="1311" t="s">
        <v>691</v>
      </c>
      <c r="E937" s="1312"/>
      <c r="F937" s="1312"/>
      <c r="G937" s="983"/>
      <c r="I937" s="490"/>
    </row>
    <row r="938" spans="1:9" ht="12.75" customHeight="1">
      <c r="A938" s="174"/>
      <c r="B938" s="174"/>
      <c r="C938" s="174"/>
      <c r="D938" s="2"/>
      <c r="E938" s="3"/>
      <c r="F938" s="983"/>
      <c r="G938" s="983"/>
      <c r="I938" s="490"/>
    </row>
    <row r="939" spans="1:9" ht="12.75" customHeight="1">
      <c r="A939" s="992"/>
      <c r="B939" s="485" t="s">
        <v>427</v>
      </c>
      <c r="C939" s="993"/>
      <c r="D939" s="1303" t="s">
        <v>692</v>
      </c>
      <c r="E939" s="1312"/>
      <c r="F939" s="1312"/>
      <c r="G939" s="994"/>
      <c r="I939" s="490"/>
    </row>
    <row r="940" spans="1:9" ht="12.75" customHeight="1">
      <c r="A940" s="992"/>
      <c r="B940" s="992"/>
      <c r="C940" s="993"/>
      <c r="D940" s="1312"/>
      <c r="E940" s="1312"/>
      <c r="F940" s="1312"/>
      <c r="G940" s="994"/>
      <c r="I940" s="490"/>
    </row>
    <row r="941" spans="1:9" ht="12.75" customHeight="1">
      <c r="A941" s="992"/>
      <c r="B941" s="992"/>
      <c r="C941" s="993"/>
      <c r="D941" s="1312"/>
      <c r="E941" s="1312"/>
      <c r="F941" s="1312"/>
      <c r="G941" s="994"/>
      <c r="I941" s="490"/>
    </row>
    <row r="942" spans="1:9" ht="12.75" customHeight="1">
      <c r="A942" s="992"/>
      <c r="B942" s="992"/>
      <c r="C942" s="993"/>
      <c r="D942" s="1312"/>
      <c r="E942" s="1312"/>
      <c r="F942" s="1312"/>
      <c r="G942" s="994"/>
      <c r="I942" s="490"/>
    </row>
    <row r="943" spans="1:9" ht="12.75" customHeight="1">
      <c r="A943" s="992"/>
      <c r="B943" s="992"/>
      <c r="C943" s="993"/>
      <c r="D943" s="1312"/>
      <c r="E943" s="1312"/>
      <c r="F943" s="1312"/>
      <c r="G943" s="994"/>
      <c r="I943" s="490"/>
    </row>
    <row r="944" spans="1:9" ht="12.75" customHeight="1">
      <c r="A944" s="992"/>
      <c r="B944" s="992"/>
      <c r="C944" s="993"/>
      <c r="D944" s="1312"/>
      <c r="E944" s="1312"/>
      <c r="F944" s="1312"/>
      <c r="G944" s="994"/>
      <c r="I944" s="490"/>
    </row>
    <row r="945" spans="1:9" ht="12.75" customHeight="1">
      <c r="A945" s="992"/>
      <c r="B945" s="992"/>
      <c r="C945" s="993"/>
      <c r="D945" s="1312"/>
      <c r="E945" s="1312"/>
      <c r="F945" s="1312"/>
      <c r="G945" s="994"/>
      <c r="I945" s="490"/>
    </row>
    <row r="946" spans="1:9" ht="12.75" customHeight="1">
      <c r="A946" s="992"/>
      <c r="B946" s="992"/>
      <c r="C946" s="993"/>
      <c r="D946" s="1312"/>
      <c r="E946" s="1312"/>
      <c r="F946" s="1312"/>
      <c r="G946" s="994"/>
      <c r="I946" s="490"/>
    </row>
    <row r="947" spans="1:9" ht="12.75" customHeight="1">
      <c r="A947" s="992"/>
      <c r="B947" s="992"/>
      <c r="C947" s="993"/>
      <c r="D947" s="1312"/>
      <c r="E947" s="1312"/>
      <c r="F947" s="1312"/>
      <c r="G947" s="994"/>
      <c r="I947" s="490"/>
    </row>
    <row r="948" spans="1:9" ht="12.75" customHeight="1">
      <c r="A948" s="174"/>
      <c r="B948" s="174"/>
      <c r="C948" s="174"/>
      <c r="D948" s="2"/>
      <c r="E948" s="3"/>
      <c r="F948" s="983"/>
      <c r="G948" s="983"/>
      <c r="I948" s="490"/>
    </row>
    <row r="949" spans="1:9" ht="12.75" customHeight="1">
      <c r="A949" s="175"/>
      <c r="B949" s="485" t="s">
        <v>427</v>
      </c>
      <c r="C949" s="174"/>
      <c r="D949" s="1362" t="s">
        <v>693</v>
      </c>
      <c r="E949" s="1312"/>
      <c r="F949" s="1312"/>
      <c r="G949" s="983"/>
      <c r="I949" s="490"/>
    </row>
    <row r="950" spans="1:9" ht="12.75" customHeight="1">
      <c r="A950" s="175"/>
      <c r="B950" s="175"/>
      <c r="C950" s="174"/>
      <c r="D950" s="1312"/>
      <c r="E950" s="1312"/>
      <c r="F950" s="1312"/>
      <c r="G950" s="983"/>
      <c r="I950" s="490"/>
    </row>
    <row r="951" spans="1:9" ht="12.75" customHeight="1">
      <c r="A951" s="175"/>
      <c r="B951" s="175"/>
      <c r="C951" s="174"/>
      <c r="D951" s="1312"/>
      <c r="E951" s="1312"/>
      <c r="F951" s="1312"/>
      <c r="G951" s="983"/>
      <c r="I951" s="490"/>
    </row>
    <row r="952" spans="1:9" ht="12.75" customHeight="1">
      <c r="A952" s="175"/>
      <c r="B952" s="175"/>
      <c r="C952" s="174"/>
      <c r="D952" s="1312"/>
      <c r="E952" s="1312"/>
      <c r="F952" s="1312"/>
      <c r="G952" s="983"/>
      <c r="I952" s="490"/>
    </row>
    <row r="953" spans="1:9" ht="12.75" customHeight="1">
      <c r="A953" s="175"/>
      <c r="B953" s="175"/>
      <c r="C953" s="174"/>
      <c r="D953" s="1312"/>
      <c r="E953" s="1312"/>
      <c r="F953" s="1312"/>
      <c r="G953" s="983"/>
      <c r="I953" s="490"/>
    </row>
    <row r="954" spans="1:9" ht="12.75" customHeight="1">
      <c r="A954" s="175"/>
      <c r="B954" s="175"/>
      <c r="C954" s="174"/>
      <c r="D954" s="1312"/>
      <c r="E954" s="1312"/>
      <c r="F954" s="1312"/>
      <c r="G954" s="983"/>
      <c r="I954" s="490"/>
    </row>
    <row r="955" spans="1:9" ht="12.75" customHeight="1">
      <c r="A955" s="175"/>
      <c r="B955" s="175"/>
      <c r="C955" s="174"/>
      <c r="D955" s="1312"/>
      <c r="E955" s="1312"/>
      <c r="F955" s="1312"/>
      <c r="G955" s="983"/>
      <c r="I955" s="490"/>
    </row>
    <row r="956" spans="1:9" ht="12.75" customHeight="1">
      <c r="A956" s="175"/>
      <c r="B956" s="175"/>
      <c r="C956" s="174"/>
      <c r="D956" s="1021"/>
      <c r="E956" s="1021"/>
      <c r="F956" s="1021"/>
      <c r="G956" s="983"/>
      <c r="I956" s="490"/>
    </row>
    <row r="957" spans="1:9" ht="12.75" customHeight="1">
      <c r="A957" s="175"/>
      <c r="B957" s="485" t="s">
        <v>427</v>
      </c>
      <c r="C957" s="174"/>
      <c r="D957" s="1310" t="s">
        <v>694</v>
      </c>
      <c r="E957" s="1312"/>
      <c r="F957" s="1312"/>
      <c r="G957" s="983"/>
      <c r="I957" s="490"/>
    </row>
    <row r="958" spans="1:9" ht="12.75" customHeight="1">
      <c r="A958" s="175"/>
      <c r="B958" s="175"/>
      <c r="C958" s="174"/>
      <c r="D958" s="1312"/>
      <c r="E958" s="1312"/>
      <c r="F958" s="1312"/>
      <c r="G958" s="983"/>
      <c r="I958" s="490"/>
    </row>
    <row r="959" spans="1:9" ht="12.75" customHeight="1">
      <c r="A959" s="175"/>
      <c r="B959" s="175"/>
      <c r="C959" s="174"/>
      <c r="D959" s="1312"/>
      <c r="E959" s="1312"/>
      <c r="F959" s="1312"/>
      <c r="G959" s="983"/>
      <c r="I959" s="490"/>
    </row>
    <row r="960" spans="1:9" ht="12.75" customHeight="1">
      <c r="A960" s="175"/>
      <c r="B960" s="175"/>
      <c r="C960" s="174"/>
      <c r="D960" s="1312"/>
      <c r="E960" s="1312"/>
      <c r="F960" s="1312"/>
      <c r="G960" s="983"/>
      <c r="I960" s="490"/>
    </row>
    <row r="961" spans="1:9" ht="12.75" customHeight="1">
      <c r="A961" s="175"/>
      <c r="B961" s="175"/>
      <c r="C961" s="174"/>
      <c r="D961" s="1312"/>
      <c r="E961" s="1312"/>
      <c r="F961" s="1312"/>
      <c r="G961" s="983"/>
      <c r="I961" s="490"/>
    </row>
    <row r="962" spans="1:9" ht="12.75" customHeight="1">
      <c r="A962" s="175"/>
      <c r="B962" s="175"/>
      <c r="C962" s="174"/>
      <c r="D962" s="1312"/>
      <c r="E962" s="1312"/>
      <c r="F962" s="1312"/>
      <c r="G962" s="983"/>
      <c r="I962" s="490"/>
    </row>
    <row r="963" spans="1:9" ht="12.75" customHeight="1">
      <c r="A963" s="175"/>
      <c r="B963" s="175"/>
      <c r="C963" s="174"/>
      <c r="D963" s="1021"/>
      <c r="E963" s="1021"/>
      <c r="F963" s="1021"/>
      <c r="G963" s="983"/>
      <c r="I963" s="490"/>
    </row>
    <row r="964" spans="1:9" ht="12.75" customHeight="1">
      <c r="A964" s="984"/>
      <c r="B964" s="485" t="s">
        <v>427</v>
      </c>
      <c r="C964" s="984"/>
      <c r="D964" s="1359" t="s">
        <v>695</v>
      </c>
      <c r="E964" s="1312"/>
      <c r="F964" s="1312"/>
      <c r="G964" s="983"/>
      <c r="I964" s="490"/>
    </row>
    <row r="965" spans="1:9" ht="12.75" customHeight="1">
      <c r="A965" s="984"/>
      <c r="B965" s="984"/>
      <c r="C965" s="984"/>
      <c r="D965" s="1312"/>
      <c r="E965" s="1312"/>
      <c r="F965" s="1312"/>
      <c r="G965" s="983"/>
      <c r="I965" s="490"/>
    </row>
    <row r="966" spans="1:9" ht="12.75" customHeight="1">
      <c r="A966" s="984"/>
      <c r="B966" s="984"/>
      <c r="C966" s="984"/>
      <c r="D966" s="1312"/>
      <c r="E966" s="1312"/>
      <c r="F966" s="1312"/>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427</v>
      </c>
      <c r="C969" s="174"/>
      <c r="D969" s="1303" t="s">
        <v>696</v>
      </c>
      <c r="E969" s="1312"/>
      <c r="F969" s="1312"/>
      <c r="G969" s="983"/>
      <c r="I969" s="490"/>
    </row>
    <row r="970" spans="1:9" ht="12.75" customHeight="1">
      <c r="A970" s="175"/>
      <c r="B970" s="175"/>
      <c r="C970" s="174"/>
      <c r="D970" s="1312"/>
      <c r="E970" s="1312"/>
      <c r="F970" s="1312"/>
      <c r="G970" s="983"/>
      <c r="I970" s="490"/>
    </row>
    <row r="971" spans="1:9" ht="12.75" customHeight="1">
      <c r="A971" s="175"/>
      <c r="B971" s="175"/>
      <c r="C971" s="174"/>
      <c r="D971" s="1312"/>
      <c r="E971" s="1312"/>
      <c r="F971" s="1312"/>
      <c r="G971" s="983"/>
      <c r="I971" s="490"/>
    </row>
    <row r="972" spans="1:9" ht="12.75" customHeight="1">
      <c r="A972" s="175"/>
      <c r="B972" s="175"/>
      <c r="C972" s="174"/>
      <c r="D972" s="1312"/>
      <c r="E972" s="1312"/>
      <c r="F972" s="1312"/>
      <c r="G972" s="983"/>
      <c r="I972" s="490"/>
    </row>
    <row r="973" spans="1:9" ht="12.75" customHeight="1">
      <c r="A973" s="984"/>
      <c r="B973" s="984"/>
      <c r="C973" s="984"/>
      <c r="D973" s="975"/>
      <c r="E973" s="975"/>
      <c r="F973" s="975"/>
      <c r="G973" s="975"/>
      <c r="I973" s="490"/>
    </row>
    <row r="974" spans="1:9" ht="12.75" customHeight="1">
      <c r="A974" s="354"/>
      <c r="B974" s="354"/>
      <c r="C974" s="354"/>
      <c r="D974" s="1318" t="s">
        <v>697</v>
      </c>
      <c r="E974" s="1312"/>
      <c r="F974" s="1312"/>
      <c r="G974" s="3"/>
      <c r="I974" s="490"/>
    </row>
    <row r="975" spans="1:9" ht="12.75" customHeight="1">
      <c r="A975" s="175"/>
      <c r="B975" s="485" t="s">
        <v>427</v>
      </c>
      <c r="C975" s="354"/>
      <c r="D975" s="1311" t="s">
        <v>698</v>
      </c>
      <c r="E975" s="1312"/>
      <c r="F975" s="1312"/>
      <c r="G975" s="3"/>
      <c r="I975" s="490"/>
    </row>
    <row r="976" spans="1:9" ht="12.75" customHeight="1">
      <c r="A976" s="354"/>
      <c r="B976" s="354"/>
      <c r="C976" s="354"/>
      <c r="D976" s="3"/>
      <c r="E976" s="3"/>
      <c r="F976" s="3"/>
      <c r="G976" s="3"/>
      <c r="I976" s="490"/>
    </row>
    <row r="977" spans="1:9" ht="12.75" customHeight="1">
      <c r="A977" s="354"/>
      <c r="B977" s="354"/>
      <c r="C977" s="354"/>
      <c r="D977" s="1318" t="s">
        <v>699</v>
      </c>
      <c r="E977" s="1312"/>
      <c r="F977" s="1312"/>
      <c r="I977" s="490"/>
    </row>
    <row r="978" spans="1:9" ht="12.75" customHeight="1">
      <c r="A978" s="175"/>
      <c r="B978" s="485" t="s">
        <v>427</v>
      </c>
      <c r="C978" s="354"/>
      <c r="D978" s="1299" t="s">
        <v>700</v>
      </c>
      <c r="E978" s="1312"/>
      <c r="F978" s="1312"/>
      <c r="I978" s="490"/>
    </row>
    <row r="979" spans="1:9" ht="12.75" customHeight="1">
      <c r="A979" s="175"/>
      <c r="B979" s="175"/>
      <c r="C979" s="354"/>
      <c r="D979" s="1312"/>
      <c r="E979" s="1312"/>
      <c r="F979" s="1312"/>
      <c r="I979" s="490"/>
    </row>
    <row r="980" spans="1:9" ht="12.75" customHeight="1">
      <c r="A980" s="175"/>
      <c r="B980" s="175"/>
      <c r="C980" s="354"/>
      <c r="D980" s="1312"/>
      <c r="E980" s="1312"/>
      <c r="F980" s="1312"/>
      <c r="I980" s="490"/>
    </row>
    <row r="981" spans="1:9" ht="12.75" customHeight="1">
      <c r="A981" s="175"/>
      <c r="B981" s="175"/>
      <c r="C981" s="354"/>
      <c r="D981" s="1312"/>
      <c r="E981" s="1312"/>
      <c r="F981" s="1312"/>
      <c r="I981" s="490"/>
    </row>
    <row r="982" spans="1:9" ht="12.75" customHeight="1">
      <c r="A982" s="175"/>
      <c r="B982" s="175"/>
      <c r="C982" s="354"/>
      <c r="D982" s="1312"/>
      <c r="E982" s="1312"/>
      <c r="F982" s="1312"/>
      <c r="I982" s="490"/>
    </row>
    <row r="983" spans="1:9" ht="12.75" customHeight="1">
      <c r="A983" s="175"/>
      <c r="B983" s="175"/>
      <c r="C983" s="354"/>
      <c r="D983" s="1312"/>
      <c r="E983" s="1312"/>
      <c r="F983" s="1312"/>
      <c r="I983" s="490"/>
    </row>
    <row r="984" spans="1:9" ht="12.75" customHeight="1">
      <c r="A984" s="175"/>
      <c r="B984" s="175"/>
      <c r="C984" s="354"/>
      <c r="D984" s="1312"/>
      <c r="E984" s="1312"/>
      <c r="F984" s="1312"/>
      <c r="I984" s="490"/>
    </row>
    <row r="985" spans="1:9" ht="12.75" customHeight="1">
      <c r="A985" s="175"/>
      <c r="B985" s="175"/>
      <c r="C985" s="354"/>
      <c r="D985" s="1312"/>
      <c r="E985" s="1312"/>
      <c r="F985" s="1312"/>
      <c r="I985" s="490"/>
    </row>
    <row r="986" spans="1:9" ht="12.75" customHeight="1">
      <c r="A986" s="175"/>
      <c r="B986" s="175"/>
      <c r="C986" s="354"/>
      <c r="D986" s="1312"/>
      <c r="E986" s="1312"/>
      <c r="F986" s="1312"/>
      <c r="I986" s="490"/>
    </row>
    <row r="987" spans="1:9" ht="12.75" customHeight="1">
      <c r="A987" s="175"/>
      <c r="B987" s="175"/>
      <c r="C987" s="354"/>
      <c r="D987" s="1312"/>
      <c r="E987" s="1312"/>
      <c r="F987" s="1312"/>
      <c r="I987" s="490"/>
    </row>
    <row r="988" spans="1:9" ht="12.75" customHeight="1">
      <c r="A988" s="175"/>
      <c r="B988" s="175"/>
      <c r="C988" s="354"/>
      <c r="D988" s="1312"/>
      <c r="E988" s="1312"/>
      <c r="F988" s="1312"/>
      <c r="I988" s="490"/>
    </row>
    <row r="989" spans="1:9" ht="12.75" customHeight="1">
      <c r="A989" s="175"/>
      <c r="B989" s="175"/>
      <c r="C989" s="354"/>
      <c r="D989" s="1312"/>
      <c r="E989" s="1312"/>
      <c r="F989" s="1312"/>
      <c r="I989" s="490"/>
    </row>
    <row r="990" spans="1:9" ht="12.75" customHeight="1">
      <c r="A990" s="175"/>
      <c r="B990" s="175"/>
      <c r="C990" s="354"/>
      <c r="D990" s="1312"/>
      <c r="E990" s="1312"/>
      <c r="F990" s="1312"/>
      <c r="I990" s="490"/>
    </row>
    <row r="991" spans="1:9" ht="12.75" customHeight="1">
      <c r="A991" s="175"/>
      <c r="B991" s="175"/>
      <c r="C991" s="354"/>
      <c r="D991" s="1312"/>
      <c r="E991" s="1312"/>
      <c r="F991" s="1312"/>
      <c r="I991" s="490"/>
    </row>
    <row r="992" spans="1:9" ht="12.75" customHeight="1">
      <c r="A992" s="175"/>
      <c r="B992" s="175"/>
      <c r="C992" s="354"/>
      <c r="D992" s="1312"/>
      <c r="E992" s="1312"/>
      <c r="F992" s="1312"/>
      <c r="G992" s="3"/>
      <c r="I992" s="490"/>
    </row>
    <row r="993" spans="1:9" ht="12.75" customHeight="1">
      <c r="A993" s="354"/>
      <c r="B993" s="354"/>
      <c r="C993" s="354"/>
      <c r="D993" s="3"/>
      <c r="E993" s="3"/>
      <c r="F993" s="3"/>
      <c r="G993" s="3"/>
      <c r="I993" s="490"/>
    </row>
    <row r="994" spans="1:9" ht="12.75" customHeight="1">
      <c r="A994" s="1326" t="s">
        <v>701</v>
      </c>
      <c r="B994" s="1263"/>
      <c r="C994" s="1263"/>
      <c r="D994" s="1263"/>
      <c r="E994" s="1263"/>
      <c r="F994" s="1263"/>
      <c r="G994" s="1263"/>
      <c r="H994" s="1023"/>
      <c r="I994" s="1145"/>
    </row>
    <row r="995" spans="1:9" ht="12.75" customHeight="1">
      <c r="A995" s="118"/>
      <c r="B995" s="118"/>
      <c r="C995" s="354"/>
      <c r="D995" s="3"/>
      <c r="E995" s="3"/>
      <c r="F995" s="3"/>
      <c r="G995" s="3"/>
      <c r="I995" s="490"/>
    </row>
    <row r="996" spans="1:9" ht="12.75" customHeight="1">
      <c r="A996" s="354"/>
      <c r="B996" s="354"/>
      <c r="C996" s="984"/>
      <c r="D996" s="1318" t="s">
        <v>702</v>
      </c>
      <c r="E996" s="1312"/>
      <c r="F996" s="1312"/>
      <c r="G996" s="3"/>
      <c r="I996" s="490"/>
    </row>
    <row r="997" spans="1:9" ht="12.75" customHeight="1">
      <c r="A997" s="172"/>
      <c r="B997" s="172"/>
      <c r="C997" s="172"/>
      <c r="D997" s="1311" t="s">
        <v>703</v>
      </c>
      <c r="E997" s="1312"/>
      <c r="F997" s="1312"/>
      <c r="G997" s="3"/>
      <c r="I997" s="490"/>
    </row>
    <row r="998" spans="1:9" ht="12.75" customHeight="1">
      <c r="A998" s="172"/>
      <c r="B998" s="172"/>
      <c r="C998" s="172"/>
      <c r="D998" s="3"/>
      <c r="E998" s="3"/>
      <c r="F998" s="983"/>
      <c r="I998" s="490"/>
    </row>
    <row r="999" spans="1:9" ht="12.75" customHeight="1">
      <c r="A999" s="354"/>
      <c r="B999" s="485" t="s">
        <v>2790</v>
      </c>
      <c r="C999" s="354"/>
      <c r="D999" s="1356" t="s">
        <v>704</v>
      </c>
      <c r="E999" s="1312"/>
      <c r="F999" s="1312"/>
      <c r="I999" s="490"/>
    </row>
    <row r="1000" spans="1:9" ht="12.75" customHeight="1">
      <c r="A1000" s="354"/>
      <c r="B1000" s="354"/>
      <c r="C1000" s="354"/>
      <c r="D1000" s="1312"/>
      <c r="E1000" s="1312"/>
      <c r="F1000" s="1312"/>
      <c r="I1000" s="490"/>
    </row>
    <row r="1001" spans="1:9" ht="12.75" customHeight="1">
      <c r="A1001" s="354"/>
      <c r="B1001" s="354"/>
      <c r="C1001" s="354"/>
      <c r="D1001" s="1032"/>
      <c r="E1001" s="1031" t="s">
        <v>705</v>
      </c>
      <c r="F1001" s="1032"/>
      <c r="I1001" s="490"/>
    </row>
    <row r="1002" spans="1:9" ht="12.75" customHeight="1">
      <c r="A1002" s="354"/>
      <c r="B1002" s="354"/>
      <c r="C1002" s="354"/>
      <c r="D1002" s="1300" t="s">
        <v>706</v>
      </c>
      <c r="E1002" s="1312"/>
      <c r="F1002" s="1312"/>
      <c r="I1002" s="490"/>
    </row>
    <row r="1003" spans="1:9" ht="12.75" customHeight="1">
      <c r="A1003" s="354"/>
      <c r="B1003" s="354"/>
      <c r="C1003" s="354"/>
      <c r="D1003" s="1312"/>
      <c r="E1003" s="1312"/>
      <c r="F1003" s="1312"/>
      <c r="I1003" s="490"/>
    </row>
    <row r="1004" spans="1:9" ht="12.75" customHeight="1">
      <c r="A1004" s="174"/>
      <c r="B1004" s="174"/>
      <c r="C1004" s="174"/>
      <c r="D1004" s="1312"/>
      <c r="E1004" s="1312"/>
      <c r="F1004" s="1312"/>
      <c r="I1004" s="490"/>
    </row>
    <row r="1005" spans="1:9" ht="12.75" customHeight="1">
      <c r="A1005" s="174"/>
      <c r="B1005" s="174"/>
      <c r="C1005" s="174"/>
      <c r="D1005" s="1312"/>
      <c r="E1005" s="1312"/>
      <c r="F1005" s="1312"/>
      <c r="I1005" s="490"/>
    </row>
    <row r="1006" spans="1:9" ht="12.75" customHeight="1">
      <c r="A1006" s="174"/>
      <c r="B1006" s="174"/>
      <c r="C1006" s="174"/>
      <c r="D1006" s="335"/>
      <c r="E1006" s="335"/>
      <c r="F1006" s="335"/>
      <c r="I1006" s="490"/>
    </row>
    <row r="1007" spans="1:9" ht="12.75" customHeight="1">
      <c r="A1007" s="174"/>
      <c r="B1007" s="485" t="s">
        <v>427</v>
      </c>
      <c r="C1007" s="174"/>
      <c r="D1007" s="1299" t="s">
        <v>707</v>
      </c>
      <c r="E1007" s="1312"/>
      <c r="F1007" s="1312"/>
      <c r="I1007" s="490"/>
    </row>
    <row r="1008" spans="1:9" ht="12.75" customHeight="1">
      <c r="A1008" s="174"/>
      <c r="B1008" s="174"/>
      <c r="C1008" s="174"/>
      <c r="D1008" s="1312"/>
      <c r="E1008" s="1312"/>
      <c r="F1008" s="1312"/>
      <c r="I1008" s="490"/>
    </row>
    <row r="1009" spans="1:9" ht="12.75" customHeight="1">
      <c r="A1009" s="174"/>
      <c r="B1009" s="174"/>
      <c r="C1009" s="174"/>
      <c r="D1009" s="1312"/>
      <c r="E1009" s="1312"/>
      <c r="F1009" s="1312"/>
      <c r="I1009" s="490"/>
    </row>
    <row r="1010" spans="1:9" ht="12.75" customHeight="1">
      <c r="A1010" s="174"/>
      <c r="B1010" s="174"/>
      <c r="C1010" s="174"/>
      <c r="D1010" s="1312"/>
      <c r="E1010" s="1312"/>
      <c r="F1010" s="1312"/>
      <c r="I1010" s="490"/>
    </row>
    <row r="1011" spans="1:9" ht="12.75" customHeight="1">
      <c r="A1011" s="174"/>
      <c r="B1011" s="174"/>
      <c r="C1011" s="174"/>
      <c r="D1011" s="441"/>
      <c r="E1011" s="441"/>
      <c r="F1011" s="441"/>
      <c r="I1011" s="490"/>
    </row>
    <row r="1012" spans="1:9" ht="12.75" customHeight="1">
      <c r="A1012" s="174"/>
      <c r="B1012" s="485" t="s">
        <v>2790</v>
      </c>
      <c r="C1012" s="174"/>
      <c r="D1012" s="1299" t="s">
        <v>708</v>
      </c>
      <c r="E1012" s="1312"/>
      <c r="F1012" s="1312"/>
      <c r="I1012" s="490"/>
    </row>
    <row r="1013" spans="1:9" ht="12.75" customHeight="1">
      <c r="A1013" s="174"/>
      <c r="B1013" s="174"/>
      <c r="C1013" s="174"/>
      <c r="D1013" s="1312"/>
      <c r="E1013" s="1312"/>
      <c r="F1013" s="1312"/>
      <c r="I1013" s="490"/>
    </row>
    <row r="1014" spans="1:9" ht="12.75" customHeight="1">
      <c r="A1014" s="174"/>
      <c r="B1014" s="174"/>
      <c r="C1014" s="174"/>
      <c r="D1014" s="441"/>
      <c r="E1014" s="441"/>
      <c r="F1014" s="441"/>
      <c r="I1014" s="490"/>
    </row>
    <row r="1015" spans="1:9" ht="12.75" customHeight="1">
      <c r="A1015" s="175"/>
      <c r="B1015" s="485" t="s">
        <v>427</v>
      </c>
      <c r="C1015" s="354"/>
      <c r="D1015" s="1311" t="s">
        <v>709</v>
      </c>
      <c r="E1015" s="1312"/>
      <c r="F1015" s="1312"/>
      <c r="I1015" s="490"/>
    </row>
    <row r="1016" spans="1:9" ht="12.75" customHeight="1">
      <c r="A1016" s="354"/>
      <c r="B1016" s="354"/>
      <c r="C1016" s="354"/>
      <c r="D1016" s="3"/>
      <c r="E1016" s="3"/>
      <c r="F1016" s="3"/>
      <c r="I1016" s="490"/>
    </row>
    <row r="1017" spans="1:9" ht="12.75" customHeight="1">
      <c r="A1017" s="175"/>
      <c r="B1017" s="485" t="s">
        <v>427</v>
      </c>
      <c r="C1017" s="354"/>
      <c r="D1017" s="1311" t="s">
        <v>710</v>
      </c>
      <c r="E1017" s="1312"/>
      <c r="F1017" s="1312"/>
      <c r="I1017" s="490"/>
    </row>
    <row r="1018" spans="1:9" ht="12.75" customHeight="1">
      <c r="A1018" s="354"/>
      <c r="B1018" s="354"/>
      <c r="C1018" s="354"/>
      <c r="D1018" s="118"/>
      <c r="E1018" s="3"/>
      <c r="F1018" s="3"/>
      <c r="I1018" s="490"/>
    </row>
    <row r="1019" spans="1:9" ht="12.75" customHeight="1">
      <c r="A1019" s="175"/>
      <c r="B1019" s="485" t="s">
        <v>2790</v>
      </c>
      <c r="C1019" s="354"/>
      <c r="D1019" s="1311" t="s">
        <v>711</v>
      </c>
      <c r="E1019" s="1312"/>
      <c r="F1019" s="1312"/>
      <c r="I1019" s="490"/>
    </row>
    <row r="1020" spans="1:9" ht="12.75" customHeight="1">
      <c r="A1020" s="354"/>
      <c r="B1020" s="354"/>
      <c r="C1020" s="354"/>
      <c r="D1020" s="118"/>
      <c r="E1020" s="3"/>
      <c r="F1020" s="3"/>
      <c r="I1020" s="490"/>
    </row>
    <row r="1021" spans="1:9" ht="12.75" customHeight="1">
      <c r="A1021" s="175"/>
      <c r="B1021" s="485" t="s">
        <v>2790</v>
      </c>
      <c r="C1021" s="354"/>
      <c r="D1021" s="1299" t="s">
        <v>712</v>
      </c>
      <c r="E1021" s="1312"/>
      <c r="F1021" s="1312"/>
      <c r="I1021" s="490"/>
    </row>
    <row r="1022" spans="1:9" ht="12.75" customHeight="1">
      <c r="A1022" s="175"/>
      <c r="B1022" s="175"/>
      <c r="C1022" s="354"/>
      <c r="D1022" s="1312"/>
      <c r="E1022" s="1312"/>
      <c r="F1022" s="1312"/>
      <c r="I1022" s="490"/>
    </row>
    <row r="1023" spans="1:9" ht="12.75" customHeight="1">
      <c r="A1023" s="175"/>
      <c r="B1023" s="175"/>
      <c r="C1023" s="354"/>
      <c r="D1023" s="118"/>
      <c r="E1023" s="3"/>
      <c r="F1023" s="3"/>
      <c r="G1023" s="3"/>
      <c r="I1023" s="490"/>
    </row>
    <row r="1024" spans="1:9" ht="12.75" customHeight="1">
      <c r="A1024" s="254"/>
      <c r="B1024" s="485" t="s">
        <v>427</v>
      </c>
      <c r="C1024" s="995"/>
      <c r="D1024" s="1325" t="s">
        <v>713</v>
      </c>
      <c r="E1024" s="1312"/>
      <c r="F1024" s="1312"/>
      <c r="G1024" s="996"/>
      <c r="I1024" s="490"/>
    </row>
    <row r="1025" spans="1:9" ht="12.75" customHeight="1">
      <c r="A1025" s="995"/>
      <c r="B1025" s="995"/>
      <c r="C1025" s="995"/>
      <c r="D1025" s="1312"/>
      <c r="E1025" s="1312"/>
      <c r="F1025" s="1312"/>
      <c r="G1025" s="996"/>
      <c r="I1025" s="490"/>
    </row>
    <row r="1026" spans="1:9" ht="12.75" customHeight="1">
      <c r="A1026" s="995"/>
      <c r="B1026" s="995"/>
      <c r="C1026" s="995"/>
      <c r="D1026" s="979"/>
      <c r="E1026" s="996"/>
      <c r="F1026" s="996"/>
      <c r="G1026" s="996"/>
      <c r="I1026" s="490"/>
    </row>
    <row r="1027" spans="1:9" ht="12.75" customHeight="1">
      <c r="A1027" s="254"/>
      <c r="B1027" s="485" t="s">
        <v>427</v>
      </c>
      <c r="C1027" s="995"/>
      <c r="D1027" s="1338" t="s">
        <v>714</v>
      </c>
      <c r="E1027" s="1312"/>
      <c r="F1027" s="1312"/>
      <c r="G1027" s="996"/>
      <c r="I1027" s="490"/>
    </row>
    <row r="1028" spans="1:9" ht="12.75" customHeight="1">
      <c r="A1028" s="995"/>
      <c r="B1028" s="995"/>
      <c r="C1028" s="995"/>
      <c r="D1028" s="979"/>
      <c r="E1028" s="996"/>
      <c r="F1028" s="996"/>
      <c r="G1028" s="996"/>
      <c r="I1028" s="490"/>
    </row>
    <row r="1029" spans="1:9" ht="12.75" customHeight="1">
      <c r="A1029" s="175"/>
      <c r="B1029" s="485" t="s">
        <v>427</v>
      </c>
      <c r="C1029" s="354"/>
      <c r="D1029" s="1311" t="s">
        <v>715</v>
      </c>
      <c r="E1029" s="1312"/>
      <c r="F1029" s="1312"/>
      <c r="G1029" s="3"/>
      <c r="I1029" s="490"/>
    </row>
    <row r="1030" spans="1:9" ht="12.75" customHeight="1">
      <c r="A1030" s="175"/>
      <c r="B1030" s="175"/>
      <c r="C1030" s="354"/>
      <c r="D1030" s="118"/>
      <c r="E1030" s="3"/>
      <c r="F1030" s="3"/>
      <c r="G1030" s="3"/>
      <c r="I1030" s="490"/>
    </row>
    <row r="1031" spans="1:9" ht="12.75" customHeight="1">
      <c r="A1031" s="175"/>
      <c r="B1031" s="485" t="s">
        <v>427</v>
      </c>
      <c r="C1031" s="354"/>
      <c r="D1031" s="1299" t="s">
        <v>716</v>
      </c>
      <c r="E1031" s="1312"/>
      <c r="F1031" s="1312"/>
      <c r="G1031" s="3"/>
      <c r="I1031" s="490"/>
    </row>
    <row r="1032" spans="1:9" ht="12.75" customHeight="1">
      <c r="A1032" s="175"/>
      <c r="B1032" s="175"/>
      <c r="C1032" s="354"/>
      <c r="D1032" s="1312"/>
      <c r="E1032" s="1312"/>
      <c r="F1032" s="1312"/>
      <c r="G1032" s="3"/>
      <c r="I1032" s="490"/>
    </row>
    <row r="1033" spans="1:9" ht="12.75" customHeight="1">
      <c r="A1033" s="354"/>
      <c r="B1033" s="354"/>
      <c r="C1033" s="354"/>
      <c r="D1033" s="3"/>
      <c r="E1033" s="3"/>
      <c r="F1033" s="3"/>
      <c r="G1033" s="3"/>
      <c r="I1033" s="490"/>
    </row>
    <row r="1034" spans="1:9" ht="12.75" customHeight="1">
      <c r="A1034" s="1326" t="s">
        <v>717</v>
      </c>
      <c r="B1034" s="1263"/>
      <c r="C1034" s="1263"/>
      <c r="D1034" s="1263"/>
      <c r="E1034" s="1263"/>
      <c r="F1034" s="1263"/>
      <c r="G1034" s="1263"/>
      <c r="H1034" s="1023"/>
      <c r="I1034" s="1145"/>
    </row>
    <row r="1035" spans="1:9" ht="12.75" customHeight="1">
      <c r="A1035" s="354"/>
      <c r="B1035" s="354"/>
      <c r="C1035" s="354"/>
      <c r="D1035" s="3"/>
      <c r="E1035" s="3"/>
      <c r="F1035" s="3"/>
      <c r="G1035" s="3"/>
      <c r="I1035" s="490"/>
    </row>
    <row r="1036" spans="1:9" ht="12.75" customHeight="1">
      <c r="A1036" s="354"/>
      <c r="B1036" s="354"/>
      <c r="C1036" s="354"/>
      <c r="D1036" s="1347" t="s">
        <v>718</v>
      </c>
      <c r="E1036" s="1312"/>
      <c r="F1036" s="1312"/>
      <c r="G1036" s="3"/>
      <c r="I1036" s="490"/>
    </row>
    <row r="1037" spans="1:9" ht="12.75" customHeight="1">
      <c r="A1037" s="354"/>
      <c r="B1037" s="354"/>
      <c r="C1037" s="354"/>
      <c r="D1037" s="1338" t="s">
        <v>719</v>
      </c>
      <c r="E1037" s="1312"/>
      <c r="F1037" s="1312"/>
      <c r="G1037" s="3"/>
      <c r="I1037" s="490"/>
    </row>
    <row r="1038" spans="1:9" ht="12.75" customHeight="1">
      <c r="A1038" s="172"/>
      <c r="B1038" s="172"/>
      <c r="C1038" s="172"/>
      <c r="D1038" s="3"/>
      <c r="E1038" s="3"/>
      <c r="F1038" s="3"/>
      <c r="G1038" s="3"/>
      <c r="I1038" s="490"/>
    </row>
    <row r="1039" spans="1:9" ht="12.75" customHeight="1">
      <c r="A1039" s="175"/>
      <c r="B1039" s="175"/>
      <c r="C1039" s="174"/>
      <c r="D1039" s="1347" t="s">
        <v>720</v>
      </c>
      <c r="E1039" s="1312"/>
      <c r="F1039" s="1312"/>
      <c r="G1039" s="3"/>
      <c r="I1039" s="490"/>
    </row>
    <row r="1040" spans="1:9" ht="12.75" customHeight="1">
      <c r="A1040" s="354"/>
      <c r="B1040" s="485" t="s">
        <v>2790</v>
      </c>
      <c r="C1040" s="354"/>
      <c r="D1040" s="1338" t="s">
        <v>721</v>
      </c>
      <c r="E1040" s="1312"/>
      <c r="F1040" s="1312"/>
      <c r="G1040" s="3"/>
      <c r="I1040" s="490"/>
    </row>
    <row r="1041" spans="1:9" ht="12.75" customHeight="1">
      <c r="A1041" s="354"/>
      <c r="B1041" s="175"/>
      <c r="C1041" s="354"/>
      <c r="D1041" s="1338" t="s">
        <v>722</v>
      </c>
      <c r="E1041" s="1312"/>
      <c r="F1041" s="1312"/>
      <c r="G1041" s="3"/>
      <c r="I1041" s="490"/>
    </row>
    <row r="1042" spans="1:9" ht="12.75" customHeight="1">
      <c r="A1042" s="354"/>
      <c r="B1042" s="354"/>
      <c r="C1042" s="354"/>
      <c r="D1042" s="1338"/>
      <c r="E1042" s="1312"/>
      <c r="F1042" s="1312"/>
      <c r="G1042" s="3"/>
      <c r="I1042" s="490"/>
    </row>
    <row r="1043" spans="1:9" ht="12.75" customHeight="1">
      <c r="A1043" s="1326" t="s">
        <v>723</v>
      </c>
      <c r="B1043" s="1263"/>
      <c r="C1043" s="1263"/>
      <c r="D1043" s="1263"/>
      <c r="E1043" s="1263"/>
      <c r="F1043" s="1263"/>
      <c r="G1043" s="1263"/>
      <c r="H1043" s="1023"/>
      <c r="I1043" s="1145"/>
    </row>
    <row r="1044" spans="1:9" ht="12.75" customHeight="1">
      <c r="A1044" s="118"/>
      <c r="B1044" s="118"/>
      <c r="C1044" s="354"/>
      <c r="D1044" s="3"/>
      <c r="E1044" s="3"/>
      <c r="F1044" s="3"/>
      <c r="G1044" s="3"/>
      <c r="I1044" s="490"/>
    </row>
    <row r="1045" spans="1:9" ht="12.75" hidden="1" customHeight="1">
      <c r="A1045" s="118"/>
      <c r="B1045" s="402"/>
      <c r="D1045" s="1368" t="s">
        <v>724</v>
      </c>
      <c r="E1045" s="1312"/>
      <c r="F1045" s="1312"/>
      <c r="G1045" s="3"/>
      <c r="I1045" s="490"/>
    </row>
    <row r="1046" spans="1:9" ht="12.75" hidden="1" customHeight="1">
      <c r="A1046" s="118"/>
      <c r="B1046" s="485" t="s">
        <v>444</v>
      </c>
      <c r="D1046" s="1340" t="s">
        <v>721</v>
      </c>
      <c r="E1046" s="1312"/>
      <c r="F1046" s="1312"/>
      <c r="G1046" s="3"/>
      <c r="I1046" s="490"/>
    </row>
    <row r="1047" spans="1:9" ht="12.75" hidden="1" customHeight="1">
      <c r="A1047" s="118"/>
      <c r="B1047" s="402"/>
      <c r="D1047" s="1340" t="s">
        <v>725</v>
      </c>
      <c r="E1047" s="1312"/>
      <c r="F1047" s="1312"/>
      <c r="G1047" s="3"/>
      <c r="I1047" s="490"/>
    </row>
    <row r="1048" spans="1:9" ht="12.75" hidden="1" customHeight="1">
      <c r="A1048" s="118"/>
      <c r="B1048" s="402"/>
      <c r="D1048" s="444"/>
      <c r="E1048" s="444"/>
      <c r="F1048" s="444"/>
      <c r="G1048" s="3"/>
      <c r="I1048" s="490"/>
    </row>
    <row r="1049" spans="1:9" ht="12.75" customHeight="1">
      <c r="A1049" s="118"/>
      <c r="B1049" s="118"/>
      <c r="C1049" s="354"/>
      <c r="D1049" s="1360" t="s">
        <v>726</v>
      </c>
      <c r="E1049" s="1312"/>
      <c r="F1049" s="1312"/>
      <c r="G1049" s="3"/>
      <c r="I1049" s="490"/>
    </row>
    <row r="1050" spans="1:9" ht="12.75" customHeight="1">
      <c r="A1050" s="319"/>
      <c r="B1050" s="319"/>
      <c r="C1050" s="319"/>
      <c r="D1050" s="1334" t="s">
        <v>727</v>
      </c>
      <c r="E1050" s="1312"/>
      <c r="F1050" s="1312"/>
      <c r="G1050" s="98"/>
      <c r="I1050" s="490"/>
    </row>
    <row r="1051" spans="1:9" ht="12.75" customHeight="1">
      <c r="A1051" s="175"/>
      <c r="B1051" s="485" t="s">
        <v>427</v>
      </c>
      <c r="C1051" s="354"/>
      <c r="D1051" s="1334" t="s">
        <v>728</v>
      </c>
      <c r="E1051" s="1312"/>
      <c r="F1051" s="1312"/>
      <c r="G1051" s="3"/>
      <c r="I1051" s="490"/>
    </row>
    <row r="1052" spans="1:9" ht="12.75" customHeight="1">
      <c r="A1052" s="354"/>
      <c r="B1052" s="354"/>
      <c r="C1052" s="354"/>
      <c r="D1052" s="1031" t="s">
        <v>729</v>
      </c>
      <c r="E1052" s="96"/>
      <c r="F1052" s="96"/>
      <c r="G1052" s="3"/>
      <c r="I1052" s="490"/>
    </row>
    <row r="1053" spans="1:9">
      <c r="A1053" s="402"/>
      <c r="B1053" s="402"/>
      <c r="C1053" s="402"/>
      <c r="I1053" s="490"/>
    </row>
    <row r="1054" spans="1:9">
      <c r="A1054" s="1326" t="s">
        <v>730</v>
      </c>
      <c r="B1054" s="1263"/>
      <c r="C1054" s="1263"/>
      <c r="D1054" s="1263"/>
      <c r="E1054" s="1263"/>
      <c r="F1054" s="1263"/>
      <c r="G1054" s="1263"/>
      <c r="H1054" s="1023"/>
      <c r="I1054" s="1145"/>
    </row>
    <row r="1055" spans="1:9">
      <c r="A1055" s="402"/>
      <c r="B1055" s="402"/>
      <c r="C1055" s="402"/>
      <c r="I1055" s="490"/>
    </row>
    <row r="1056" spans="1:9">
      <c r="A1056" s="402"/>
      <c r="B1056" s="402"/>
      <c r="C1056" s="402"/>
      <c r="D1056" s="404" t="s">
        <v>731</v>
      </c>
      <c r="I1056" s="490"/>
    </row>
    <row r="1057" spans="1:9">
      <c r="A1057" s="402"/>
      <c r="B1057" s="402"/>
      <c r="C1057" s="402"/>
      <c r="D1057" s="402" t="s">
        <v>732</v>
      </c>
      <c r="I1057" s="490"/>
    </row>
    <row r="1058" spans="1:9">
      <c r="A1058" s="402"/>
      <c r="B1058" s="402"/>
      <c r="C1058" s="402"/>
      <c r="D1058" s="404"/>
      <c r="I1058" s="490"/>
    </row>
    <row r="1059" spans="1:9">
      <c r="A1059" s="402"/>
      <c r="B1059" s="485" t="s">
        <v>2790</v>
      </c>
      <c r="C1059" s="402"/>
      <c r="D1059" s="1343" t="s">
        <v>733</v>
      </c>
      <c r="E1059" s="1312"/>
      <c r="F1059" s="1312"/>
      <c r="I1059" s="490"/>
    </row>
    <row r="1060" spans="1:9">
      <c r="A1060" s="402"/>
      <c r="B1060" s="402"/>
      <c r="C1060" s="402"/>
      <c r="D1060" s="1312"/>
      <c r="E1060" s="1312"/>
      <c r="F1060" s="1312"/>
      <c r="I1060" s="490"/>
    </row>
    <row r="1061" spans="1:9">
      <c r="A1061" s="402"/>
      <c r="B1061" s="402"/>
      <c r="C1061" s="402"/>
      <c r="D1061" s="1312"/>
      <c r="E1061" s="1312"/>
      <c r="F1061" s="1312"/>
      <c r="I1061" s="490"/>
    </row>
    <row r="1062" spans="1:9">
      <c r="A1062" s="402"/>
      <c r="B1062" s="402"/>
      <c r="C1062" s="402"/>
      <c r="D1062" s="1312"/>
      <c r="E1062" s="1312"/>
      <c r="F1062" s="1312"/>
      <c r="I1062" s="490"/>
    </row>
    <row r="1063" spans="1:9">
      <c r="A1063" s="402"/>
      <c r="B1063" s="402"/>
      <c r="C1063" s="402"/>
      <c r="I1063" s="490"/>
    </row>
    <row r="1064" spans="1:9">
      <c r="A1064" s="402"/>
      <c r="B1064" s="402"/>
      <c r="C1064" s="402"/>
      <c r="D1064" s="404" t="s">
        <v>734</v>
      </c>
      <c r="I1064" s="490"/>
    </row>
    <row r="1065" spans="1:9">
      <c r="A1065" s="402"/>
      <c r="B1065" s="402"/>
      <c r="C1065" s="402"/>
      <c r="D1065" s="402" t="s">
        <v>735</v>
      </c>
      <c r="I1065" s="490"/>
    </row>
    <row r="1066" spans="1:9">
      <c r="A1066" s="402"/>
      <c r="B1066" s="402"/>
      <c r="C1066" s="402"/>
      <c r="I1066" s="490"/>
    </row>
    <row r="1067" spans="1:9">
      <c r="A1067" s="402"/>
      <c r="B1067" s="485" t="s">
        <v>427</v>
      </c>
      <c r="C1067" s="402"/>
      <c r="D1067" s="402" t="s">
        <v>682</v>
      </c>
      <c r="I1067" s="490"/>
    </row>
    <row r="1068" spans="1:9">
      <c r="A1068" s="402"/>
      <c r="B1068" s="402"/>
      <c r="C1068" s="402"/>
      <c r="I1068" s="490"/>
    </row>
    <row r="1069" spans="1:9">
      <c r="A1069" s="402"/>
      <c r="B1069" s="485" t="s">
        <v>427</v>
      </c>
      <c r="C1069" s="402"/>
      <c r="D1069" s="1343" t="s">
        <v>736</v>
      </c>
      <c r="E1069" s="1312"/>
      <c r="F1069" s="1312"/>
      <c r="I1069" s="490"/>
    </row>
    <row r="1070" spans="1:9">
      <c r="A1070" s="402"/>
      <c r="B1070" s="402"/>
      <c r="C1070" s="402"/>
      <c r="D1070" s="1312"/>
      <c r="E1070" s="1312"/>
      <c r="F1070" s="1312"/>
      <c r="I1070" s="490"/>
    </row>
    <row r="1071" spans="1:9">
      <c r="A1071" s="402"/>
      <c r="B1071" s="402"/>
      <c r="C1071" s="402"/>
      <c r="D1071" s="1312"/>
      <c r="E1071" s="1312"/>
      <c r="F1071" s="1312"/>
      <c r="I1071" s="490"/>
    </row>
    <row r="1072" spans="1:9">
      <c r="A1072" s="402"/>
      <c r="B1072" s="402"/>
      <c r="C1072" s="402"/>
      <c r="D1072" s="1312"/>
      <c r="E1072" s="1312"/>
      <c r="F1072" s="1312"/>
      <c r="I1072" s="490"/>
    </row>
    <row r="1073" spans="1:9">
      <c r="A1073" s="402"/>
      <c r="B1073" s="402"/>
      <c r="C1073" s="402"/>
      <c r="D1073" s="1312"/>
      <c r="E1073" s="1312"/>
      <c r="F1073" s="1312"/>
      <c r="I1073" s="490"/>
    </row>
    <row r="1074" spans="1:9">
      <c r="A1074" s="402"/>
      <c r="B1074" s="402"/>
      <c r="C1074" s="402"/>
      <c r="I1074" s="490"/>
    </row>
    <row r="1075" spans="1:9">
      <c r="A1075" s="1326" t="s">
        <v>737</v>
      </c>
      <c r="B1075" s="1263"/>
      <c r="C1075" s="1263"/>
      <c r="D1075" s="1263"/>
      <c r="E1075" s="1263"/>
      <c r="F1075" s="1263"/>
      <c r="G1075" s="1263"/>
      <c r="H1075" s="1023"/>
      <c r="I1075" s="1145"/>
    </row>
    <row r="1076" spans="1:9">
      <c r="A1076" s="402"/>
      <c r="B1076" s="402"/>
      <c r="C1076" s="402"/>
      <c r="I1076" s="490"/>
    </row>
    <row r="1077" spans="1:9">
      <c r="A1077" s="402"/>
      <c r="B1077" s="402"/>
      <c r="C1077" s="402"/>
      <c r="I1077" s="490"/>
    </row>
    <row r="1078" spans="1:9">
      <c r="A1078" s="402"/>
      <c r="B1078" s="485" t="s">
        <v>2790</v>
      </c>
      <c r="C1078" s="402"/>
      <c r="D1078" s="527" t="s">
        <v>738</v>
      </c>
      <c r="I1078" s="490"/>
    </row>
    <row r="1079" spans="1:9">
      <c r="A1079" s="402"/>
      <c r="B1079" s="402"/>
      <c r="C1079" s="402"/>
      <c r="D1079" s="527" t="s">
        <v>739</v>
      </c>
      <c r="I1079" s="490"/>
    </row>
    <row r="1080" spans="1:9">
      <c r="A1080" s="402"/>
      <c r="B1080" s="402"/>
      <c r="C1080" s="402"/>
      <c r="D1080" s="527"/>
      <c r="I1080" s="490"/>
    </row>
    <row r="1081" spans="1:9">
      <c r="A1081" s="402"/>
      <c r="B1081" s="485" t="s">
        <v>2790</v>
      </c>
      <c r="C1081" s="402"/>
      <c r="D1081" s="1346" t="s">
        <v>740</v>
      </c>
      <c r="E1081" s="1312"/>
      <c r="F1081" s="1312"/>
      <c r="I1081" s="490"/>
    </row>
    <row r="1082" spans="1:9">
      <c r="A1082" s="402"/>
      <c r="B1082" s="402"/>
      <c r="C1082" s="402"/>
      <c r="D1082" s="1312"/>
      <c r="E1082" s="1312"/>
      <c r="F1082" s="1312"/>
      <c r="I1082" s="490"/>
    </row>
    <row r="1083" spans="1:9">
      <c r="A1083" s="402"/>
      <c r="B1083" s="402"/>
      <c r="C1083" s="402"/>
      <c r="D1083" s="527" t="s">
        <v>741</v>
      </c>
      <c r="I1083" s="490"/>
    </row>
    <row r="1084" spans="1:9">
      <c r="A1084" s="402"/>
      <c r="B1084" s="402" t="s">
        <v>444</v>
      </c>
      <c r="C1084" s="402"/>
      <c r="D1084" s="527" t="s">
        <v>742</v>
      </c>
      <c r="I1084" s="490"/>
    </row>
    <row r="1085" spans="1:9">
      <c r="A1085" s="402"/>
      <c r="B1085" s="485" t="s">
        <v>427</v>
      </c>
      <c r="C1085" s="402"/>
      <c r="D1085" s="119" t="s">
        <v>743</v>
      </c>
      <c r="I1085" s="490"/>
    </row>
    <row r="1086" spans="1:9">
      <c r="A1086" s="402"/>
      <c r="B1086" s="402"/>
      <c r="C1086" s="402"/>
      <c r="D1086" s="1299" t="s">
        <v>744</v>
      </c>
      <c r="E1086" s="1312"/>
      <c r="F1086" s="1312"/>
      <c r="I1086" s="490"/>
    </row>
    <row r="1087" spans="1:9">
      <c r="A1087" s="402"/>
      <c r="B1087" s="402"/>
      <c r="C1087" s="402"/>
      <c r="D1087" s="1312"/>
      <c r="E1087" s="1312"/>
      <c r="F1087" s="1312"/>
      <c r="I1087" s="490"/>
    </row>
    <row r="1088" spans="1:9">
      <c r="A1088" s="402"/>
      <c r="B1088" s="402"/>
      <c r="C1088" s="402"/>
      <c r="D1088" s="1312"/>
      <c r="E1088" s="1312"/>
      <c r="F1088" s="1312"/>
      <c r="I1088" s="490"/>
    </row>
    <row r="1089" spans="1:9">
      <c r="A1089" s="402"/>
      <c r="B1089" s="402"/>
      <c r="C1089" s="402"/>
      <c r="D1089" s="1312"/>
      <c r="E1089" s="1312"/>
      <c r="F1089" s="1312"/>
      <c r="I1089" s="490"/>
    </row>
    <row r="1090" spans="1:9">
      <c r="A1090" s="402"/>
      <c r="B1090" s="402"/>
      <c r="C1090" s="402"/>
      <c r="D1090" s="119" t="s">
        <v>745</v>
      </c>
      <c r="I1090" s="490"/>
    </row>
    <row r="1091" spans="1:9">
      <c r="A1091" s="402"/>
      <c r="B1091" s="402"/>
      <c r="C1091" s="402"/>
      <c r="D1091" s="119"/>
      <c r="I1091" s="490"/>
    </row>
    <row r="1092" spans="1:9">
      <c r="A1092" s="402"/>
      <c r="B1092" s="402"/>
      <c r="C1092" s="402"/>
      <c r="D1092" s="527" t="s">
        <v>746</v>
      </c>
      <c r="I1092" s="490"/>
    </row>
    <row r="1093" spans="1:9">
      <c r="A1093" s="402"/>
      <c r="B1093" s="485" t="s">
        <v>427</v>
      </c>
      <c r="C1093" s="402"/>
      <c r="D1093" s="1342" t="s">
        <v>747</v>
      </c>
      <c r="E1093" s="1312"/>
      <c r="F1093" s="1312"/>
      <c r="I1093" s="490"/>
    </row>
    <row r="1094" spans="1:9">
      <c r="A1094" s="402"/>
      <c r="B1094" s="402"/>
      <c r="C1094" s="402"/>
      <c r="D1094" s="1312"/>
      <c r="E1094" s="1312"/>
      <c r="F1094" s="1312"/>
      <c r="I1094" s="490"/>
    </row>
    <row r="1095" spans="1:9">
      <c r="A1095" s="402"/>
      <c r="B1095" s="402"/>
      <c r="C1095" s="402"/>
      <c r="D1095" s="1312"/>
      <c r="E1095" s="1312"/>
      <c r="F1095" s="1312"/>
      <c r="I1095" s="490"/>
    </row>
    <row r="1096" spans="1:9">
      <c r="A1096" s="402"/>
      <c r="B1096" s="402"/>
      <c r="C1096" s="402"/>
      <c r="D1096" s="1312"/>
      <c r="E1096" s="1312"/>
      <c r="F1096" s="1312"/>
      <c r="I1096" s="490"/>
    </row>
    <row r="1097" spans="1:9">
      <c r="A1097" s="402"/>
      <c r="B1097" s="402"/>
      <c r="C1097" s="402"/>
      <c r="D1097" s="1312"/>
      <c r="E1097" s="1312"/>
      <c r="F1097" s="1312"/>
      <c r="I1097" s="490"/>
    </row>
    <row r="1098" spans="1:9">
      <c r="A1098" s="402"/>
      <c r="B1098" s="402"/>
      <c r="C1098" s="402"/>
      <c r="D1098" s="527" t="s">
        <v>748</v>
      </c>
      <c r="I1098" s="490"/>
    </row>
    <row r="1099" spans="1:9">
      <c r="A1099" s="402"/>
      <c r="B1099" s="402"/>
      <c r="C1099" s="402"/>
      <c r="I1099" s="490"/>
    </row>
    <row r="1100" spans="1:9">
      <c r="A1100" s="402"/>
      <c r="B1100" s="485" t="s">
        <v>427</v>
      </c>
      <c r="C1100" s="402"/>
      <c r="D1100" s="1314" t="s">
        <v>749</v>
      </c>
      <c r="E1100" s="1312"/>
      <c r="F1100" s="1312"/>
      <c r="I1100" s="490"/>
    </row>
    <row r="1101" spans="1:9">
      <c r="A1101" s="402"/>
      <c r="B1101" s="402"/>
      <c r="C1101" s="402"/>
      <c r="D1101" s="1312"/>
      <c r="E1101" s="1312"/>
      <c r="F1101" s="1312"/>
      <c r="I1101" s="490"/>
    </row>
    <row r="1102" spans="1:9">
      <c r="A1102" s="402"/>
      <c r="B1102" s="402"/>
      <c r="C1102" s="402"/>
      <c r="D1102" s="1312"/>
      <c r="E1102" s="1312"/>
      <c r="F1102" s="1312"/>
      <c r="I1102" s="490"/>
    </row>
    <row r="1103" spans="1:9">
      <c r="A1103" s="402"/>
      <c r="B1103" s="402"/>
      <c r="C1103" s="402"/>
      <c r="I1103" s="490"/>
    </row>
    <row r="1104" spans="1:9">
      <c r="A1104" s="1326" t="s">
        <v>750</v>
      </c>
      <c r="B1104" s="1263"/>
      <c r="C1104" s="1263"/>
      <c r="D1104" s="1263"/>
      <c r="E1104" s="1263"/>
      <c r="F1104" s="1263"/>
      <c r="G1104" s="1263"/>
      <c r="H1104" s="1023"/>
      <c r="I1104" s="1145"/>
    </row>
    <row r="1105" spans="1:9">
      <c r="A1105" s="402"/>
      <c r="B1105" s="402"/>
      <c r="C1105" s="402"/>
      <c r="I1105" s="490"/>
    </row>
    <row r="1106" spans="1:9">
      <c r="A1106" s="402"/>
      <c r="B1106" s="402"/>
      <c r="C1106" s="402"/>
      <c r="I1106" s="490"/>
    </row>
    <row r="1107" spans="1:9" ht="12.75" customHeight="1">
      <c r="A1107" s="402"/>
      <c r="B1107" s="485" t="s">
        <v>427</v>
      </c>
      <c r="C1107" s="402"/>
      <c r="D1107" s="1352" t="s">
        <v>751</v>
      </c>
      <c r="E1107" s="1312"/>
      <c r="F1107" s="1312"/>
      <c r="I1107" s="490"/>
    </row>
    <row r="1108" spans="1:9">
      <c r="A1108" s="402"/>
      <c r="B1108" s="402"/>
      <c r="C1108" s="402"/>
      <c r="D1108" s="1312"/>
      <c r="E1108" s="1312"/>
      <c r="F1108" s="1312"/>
      <c r="I1108" s="490"/>
    </row>
    <row r="1109" spans="1:9">
      <c r="A1109" s="402"/>
      <c r="B1109" s="402"/>
      <c r="C1109" s="402"/>
      <c r="D1109" s="1344" t="s">
        <v>752</v>
      </c>
      <c r="E1109" s="1312"/>
      <c r="F1109" s="1312"/>
      <c r="I1109" s="490"/>
    </row>
    <row r="1110" spans="1:9">
      <c r="A1110" s="402"/>
      <c r="B1110" s="402"/>
      <c r="C1110" s="402"/>
      <c r="D1110" s="527"/>
      <c r="I1110" s="490"/>
    </row>
    <row r="1111" spans="1:9">
      <c r="A1111" s="402"/>
      <c r="B1111" s="485" t="s">
        <v>2790</v>
      </c>
      <c r="C1111" s="402"/>
      <c r="D1111" s="1342" t="s">
        <v>753</v>
      </c>
      <c r="E1111" s="1312"/>
      <c r="F1111" s="1312"/>
      <c r="I1111" s="490"/>
    </row>
    <row r="1112" spans="1:9">
      <c r="A1112" s="402"/>
      <c r="B1112" s="402"/>
      <c r="C1112" s="402"/>
      <c r="D1112" s="1312"/>
      <c r="E1112" s="1312"/>
      <c r="F1112" s="1312"/>
      <c r="I1112" s="490"/>
    </row>
    <row r="1113" spans="1:9">
      <c r="A1113" s="402"/>
      <c r="B1113" s="402"/>
      <c r="C1113" s="402"/>
      <c r="D1113" s="1312"/>
      <c r="E1113" s="1312"/>
      <c r="F1113" s="1312"/>
      <c r="I1113" s="490"/>
    </row>
    <row r="1114" spans="1:9">
      <c r="A1114" s="402"/>
      <c r="B1114" s="402" t="s">
        <v>444</v>
      </c>
      <c r="C1114" s="402"/>
      <c r="D1114" s="527" t="s">
        <v>754</v>
      </c>
      <c r="I1114" s="490"/>
    </row>
    <row r="1115" spans="1:9">
      <c r="A1115" s="402"/>
      <c r="B1115" s="485" t="s">
        <v>2790</v>
      </c>
      <c r="C1115" s="402"/>
      <c r="D1115" s="1342" t="s">
        <v>755</v>
      </c>
      <c r="E1115" s="1312"/>
      <c r="F1115" s="1312"/>
      <c r="I1115" s="490"/>
    </row>
    <row r="1116" spans="1:9">
      <c r="A1116" s="402"/>
      <c r="B1116" s="402"/>
      <c r="C1116" s="402"/>
      <c r="D1116" s="1312"/>
      <c r="E1116" s="1312"/>
      <c r="F1116" s="1312"/>
      <c r="I1116" s="490"/>
    </row>
    <row r="1117" spans="1:9">
      <c r="A1117" s="402"/>
      <c r="B1117" s="402"/>
      <c r="C1117" s="402"/>
      <c r="D1117" s="1312"/>
      <c r="E1117" s="1312"/>
      <c r="F1117" s="1312"/>
      <c r="I1117" s="490"/>
    </row>
    <row r="1118" spans="1:9">
      <c r="A1118" s="402"/>
      <c r="B1118" s="402"/>
      <c r="C1118" s="402"/>
      <c r="D1118" s="1312"/>
      <c r="E1118" s="1312"/>
      <c r="F1118" s="1312"/>
      <c r="I1118" s="490"/>
    </row>
    <row r="1119" spans="1:9">
      <c r="A1119" s="402"/>
      <c r="B1119" s="402"/>
      <c r="C1119" s="402"/>
      <c r="D1119" s="1312"/>
      <c r="E1119" s="1312"/>
      <c r="F1119" s="1312"/>
      <c r="I1119" s="490"/>
    </row>
    <row r="1120" spans="1:9">
      <c r="A1120" s="402"/>
      <c r="B1120" s="402"/>
      <c r="C1120" s="402"/>
      <c r="D1120" s="527"/>
      <c r="I1120" s="480"/>
    </row>
    <row r="1121" spans="1:9">
      <c r="A1121" s="402"/>
      <c r="B1121" s="485" t="s">
        <v>427</v>
      </c>
      <c r="C1121" s="402"/>
      <c r="D1121" s="1342" t="s">
        <v>756</v>
      </c>
      <c r="E1121" s="1312"/>
      <c r="F1121" s="1312"/>
      <c r="I1121" s="490"/>
    </row>
    <row r="1122" spans="1:9">
      <c r="A1122" s="402"/>
      <c r="B1122" s="402"/>
      <c r="C1122" s="402"/>
      <c r="D1122" s="1312"/>
      <c r="E1122" s="1312"/>
      <c r="F1122" s="1312"/>
      <c r="I1122" s="490"/>
    </row>
    <row r="1123" spans="1:9">
      <c r="A1123" s="402"/>
      <c r="B1123" s="402"/>
      <c r="C1123" s="402"/>
      <c r="D1123" s="1312"/>
      <c r="E1123" s="1312"/>
      <c r="F1123" s="1312"/>
      <c r="I1123" s="490"/>
    </row>
    <row r="1124" spans="1:9">
      <c r="A1124" s="402"/>
      <c r="B1124" s="402"/>
      <c r="C1124" s="402"/>
      <c r="D1124" s="527"/>
      <c r="I1124" s="490"/>
    </row>
    <row r="1125" spans="1:9">
      <c r="A1125" s="402"/>
      <c r="B1125" s="485" t="s">
        <v>427</v>
      </c>
      <c r="C1125" s="402"/>
      <c r="D1125" s="1300" t="s">
        <v>757</v>
      </c>
      <c r="E1125" s="1312"/>
      <c r="F1125" s="1312"/>
      <c r="I1125" s="490"/>
    </row>
    <row r="1126" spans="1:9">
      <c r="A1126" s="402"/>
      <c r="B1126" s="402"/>
      <c r="C1126" s="402"/>
      <c r="D1126" s="1312"/>
      <c r="E1126" s="1312"/>
      <c r="F1126" s="1312"/>
      <c r="I1126" s="490"/>
    </row>
    <row r="1127" spans="1:9">
      <c r="A1127" s="402"/>
      <c r="B1127" s="402"/>
      <c r="C1127" s="402"/>
      <c r="D1127" s="1312"/>
      <c r="E1127" s="1312"/>
      <c r="F1127" s="1312"/>
      <c r="I1127" s="490"/>
    </row>
    <row r="1128" spans="1:9">
      <c r="A1128" s="402"/>
      <c r="B1128" s="402"/>
      <c r="C1128" s="402"/>
      <c r="D1128" s="975"/>
      <c r="E1128" s="975"/>
      <c r="F1128" s="975"/>
      <c r="I1128" s="490"/>
    </row>
    <row r="1129" spans="1:9" ht="15.75" customHeight="1">
      <c r="A1129" s="402"/>
      <c r="B1129" s="485" t="s">
        <v>427</v>
      </c>
      <c r="C1129" s="402"/>
      <c r="D1129" s="1299" t="s">
        <v>758</v>
      </c>
      <c r="E1129" s="1312"/>
      <c r="F1129" s="1312"/>
      <c r="I1129" s="490"/>
    </row>
    <row r="1130" spans="1:9">
      <c r="A1130" s="402"/>
      <c r="B1130" s="402"/>
      <c r="C1130" s="402"/>
      <c r="D1130" s="1312"/>
      <c r="E1130" s="1312"/>
      <c r="F1130" s="1312"/>
      <c r="I1130" s="490"/>
    </row>
    <row r="1131" spans="1:9">
      <c r="A1131" s="402"/>
      <c r="B1131" s="402"/>
      <c r="C1131" s="402"/>
      <c r="D1131" s="1312"/>
      <c r="E1131" s="1312"/>
      <c r="F1131" s="1312"/>
      <c r="I1131" s="490"/>
    </row>
    <row r="1132" spans="1:9">
      <c r="A1132" s="402"/>
      <c r="B1132" s="402"/>
      <c r="C1132" s="402"/>
      <c r="D1132" s="1312"/>
      <c r="E1132" s="1312"/>
      <c r="F1132" s="1312"/>
      <c r="I1132" s="490"/>
    </row>
    <row r="1133" spans="1:9">
      <c r="A1133" s="402"/>
      <c r="B1133" s="402"/>
      <c r="C1133" s="402"/>
      <c r="D1133" s="975"/>
      <c r="E1133" s="975"/>
      <c r="F1133" s="975"/>
      <c r="I1133" s="490"/>
    </row>
    <row r="1134" spans="1:9">
      <c r="A1134" s="402"/>
      <c r="B1134" s="485" t="s">
        <v>427</v>
      </c>
      <c r="C1134" s="402"/>
      <c r="D1134" s="1300" t="s">
        <v>759</v>
      </c>
      <c r="E1134" s="1312"/>
      <c r="F1134" s="1312"/>
      <c r="I1134" s="490"/>
    </row>
    <row r="1135" spans="1:9">
      <c r="A1135" s="402"/>
      <c r="B1135" s="402"/>
      <c r="C1135" s="402"/>
      <c r="D1135" s="1312"/>
      <c r="E1135" s="1312"/>
      <c r="F1135" s="1312"/>
      <c r="I1135" s="490"/>
    </row>
    <row r="1136" spans="1:9">
      <c r="A1136" s="402"/>
      <c r="B1136" s="402"/>
      <c r="C1136" s="402"/>
      <c r="D1136" s="1312"/>
      <c r="E1136" s="1312"/>
      <c r="F1136" s="1312"/>
      <c r="I1136" s="490"/>
    </row>
    <row r="1137" spans="1:9">
      <c r="A1137" s="402"/>
      <c r="B1137" s="402"/>
      <c r="C1137" s="402"/>
      <c r="D1137" s="1312"/>
      <c r="E1137" s="1312"/>
      <c r="F1137" s="1312"/>
      <c r="I1137" s="490"/>
    </row>
    <row r="1138" spans="1:9">
      <c r="A1138" s="402"/>
      <c r="B1138" s="402"/>
      <c r="C1138" s="402"/>
      <c r="D1138" s="1312"/>
      <c r="E1138" s="1312"/>
      <c r="F1138" s="1312"/>
      <c r="I1138" s="490"/>
    </row>
    <row r="1139" spans="1:9">
      <c r="A1139" s="402"/>
      <c r="B1139" s="402"/>
      <c r="C1139" s="402"/>
      <c r="D1139" s="1312"/>
      <c r="E1139" s="1312"/>
      <c r="F1139" s="1312"/>
      <c r="I1139" s="490"/>
    </row>
    <row r="1140" spans="1:9">
      <c r="A1140" s="402"/>
      <c r="B1140" s="402"/>
      <c r="C1140" s="402"/>
      <c r="D1140" s="975"/>
      <c r="E1140" s="975"/>
      <c r="F1140" s="975"/>
      <c r="I1140" s="490"/>
    </row>
    <row r="1141" spans="1:9">
      <c r="A1141" s="402"/>
      <c r="B1141" s="485" t="s">
        <v>427</v>
      </c>
      <c r="C1141" s="402"/>
      <c r="D1141" s="1343" t="s">
        <v>760</v>
      </c>
      <c r="E1141" s="1312"/>
      <c r="F1141" s="1312"/>
      <c r="I1141" s="1151"/>
    </row>
    <row r="1142" spans="1:9">
      <c r="A1142" s="402"/>
      <c r="B1142" s="402"/>
      <c r="C1142" s="402"/>
      <c r="D1142" s="1312"/>
      <c r="E1142" s="1312"/>
      <c r="F1142" s="1312"/>
      <c r="I1142" s="490"/>
    </row>
    <row r="1143" spans="1:9">
      <c r="A1143" s="402"/>
      <c r="B1143" s="402"/>
      <c r="C1143" s="402"/>
      <c r="D1143" s="1312"/>
      <c r="E1143" s="1312"/>
      <c r="F1143" s="1312"/>
    </row>
    <row r="1144" spans="1:9">
      <c r="A1144" s="402"/>
      <c r="B1144" s="402"/>
      <c r="C1144" s="402"/>
      <c r="D1144" s="1312"/>
      <c r="E1144" s="1312"/>
      <c r="F1144" s="1312"/>
    </row>
    <row r="1145" spans="1:9">
      <c r="A1145" s="402"/>
      <c r="B1145" s="402"/>
      <c r="C1145" s="402"/>
      <c r="D1145" s="1312"/>
      <c r="E1145" s="1312"/>
      <c r="F1145" s="1312"/>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2" spans="1:3"/>
    <row r="1163" spans="1:3"/>
    <row r="1164"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5" spans="1:3"/>
    <row r="1406" spans="1:3"/>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0" spans="1:3"/>
    <row r="1551" spans="1:3"/>
    <row r="1552" spans="1:3"/>
    <row r="1553" spans="7:9" hidden="1">
      <c r="G1553" s="1321"/>
      <c r="H1553" s="1312"/>
      <c r="I1553" s="1333"/>
    </row>
  </sheetData>
  <sheetProtection algorithmName="SHA-512" hashValue="Ww32tdGca5c0RC8tWipYA12kLcv2BMeSdvtHpK0/m2dgR2d1hqQFWOx/1yutMHu3wGkTSUgDycnCPDLQoR1tjQ==" saltValue="SH84useKQv3eVswAYtO3qQ==" spinCount="100000" sheet="1" objects="1" scenarios="1"/>
  <mergeCells count="306">
    <mergeCell ref="D509:F509"/>
    <mergeCell ref="D131:F135"/>
    <mergeCell ref="D691:F691"/>
    <mergeCell ref="D56:F57"/>
    <mergeCell ref="D564:F565"/>
    <mergeCell ref="D77:F77"/>
    <mergeCell ref="D52:F54"/>
    <mergeCell ref="D61:F63"/>
    <mergeCell ref="D119:F126"/>
    <mergeCell ref="D687:F687"/>
    <mergeCell ref="D591:F594"/>
    <mergeCell ref="D656:F656"/>
    <mergeCell ref="D227:F227"/>
    <mergeCell ref="D423:F427"/>
    <mergeCell ref="D250:F254"/>
    <mergeCell ref="D352:F352"/>
    <mergeCell ref="A262:G262"/>
    <mergeCell ref="D197:F197"/>
    <mergeCell ref="D1051:F1051"/>
    <mergeCell ref="D1029:F1029"/>
    <mergeCell ref="D137:F149"/>
    <mergeCell ref="D501:F502"/>
    <mergeCell ref="D658:F661"/>
    <mergeCell ref="D360:F360"/>
    <mergeCell ref="D198:F198"/>
    <mergeCell ref="D213:F213"/>
    <mergeCell ref="D717:F729"/>
    <mergeCell ref="D344:F347"/>
    <mergeCell ref="D1039:F1039"/>
    <mergeCell ref="D471:F472"/>
    <mergeCell ref="D488:F492"/>
    <mergeCell ref="D595:F598"/>
    <mergeCell ref="D1015:F1015"/>
    <mergeCell ref="D896:F896"/>
    <mergeCell ref="A684:G684"/>
    <mergeCell ref="D939:F947"/>
    <mergeCell ref="D214:F214"/>
    <mergeCell ref="D1045:F1045"/>
    <mergeCell ref="D1002:F1005"/>
    <mergeCell ref="A544:G544"/>
    <mergeCell ref="D895:F895"/>
    <mergeCell ref="A634:G634"/>
    <mergeCell ref="D918:F925"/>
    <mergeCell ref="D574:F574"/>
    <mergeCell ref="D271:F276"/>
    <mergeCell ref="A191:G191"/>
    <mergeCell ref="D96:F97"/>
    <mergeCell ref="A540:G540"/>
    <mergeCell ref="D761:F761"/>
    <mergeCell ref="D586:F586"/>
    <mergeCell ref="D827:F832"/>
    <mergeCell ref="D401:F418"/>
    <mergeCell ref="D169:F169"/>
    <mergeCell ref="D791:F793"/>
    <mergeCell ref="D589:F589"/>
    <mergeCell ref="D567:F568"/>
    <mergeCell ref="E207:F207"/>
    <mergeCell ref="D703:F703"/>
    <mergeCell ref="D392:F400"/>
    <mergeCell ref="D170:G170"/>
    <mergeCell ref="D648:F650"/>
    <mergeCell ref="E199:F199"/>
    <mergeCell ref="D663:F667"/>
    <mergeCell ref="D547:F547"/>
    <mergeCell ref="D575:F577"/>
    <mergeCell ref="D494:F494"/>
    <mergeCell ref="A1054:G1054"/>
    <mergeCell ref="D1129:F1132"/>
    <mergeCell ref="D206:F206"/>
    <mergeCell ref="D842:F851"/>
    <mergeCell ref="D788:F788"/>
    <mergeCell ref="D579:F582"/>
    <mergeCell ref="D799:F801"/>
    <mergeCell ref="A1034:G1034"/>
    <mergeCell ref="D318:F332"/>
    <mergeCell ref="D789:F789"/>
    <mergeCell ref="D1024:F1025"/>
    <mergeCell ref="D290:F291"/>
    <mergeCell ref="A904:G904"/>
    <mergeCell ref="A1075:G1075"/>
    <mergeCell ref="D228:F231"/>
    <mergeCell ref="D935:F935"/>
    <mergeCell ref="D964:F966"/>
    <mergeCell ref="D1050:F1050"/>
    <mergeCell ref="D937:F937"/>
    <mergeCell ref="D969:F972"/>
    <mergeCell ref="D1036:F1036"/>
    <mergeCell ref="D302:F302"/>
    <mergeCell ref="D1125:F1127"/>
    <mergeCell ref="D1121:F1123"/>
    <mergeCell ref="D1047:F1047"/>
    <mergeCell ref="D949:F955"/>
    <mergeCell ref="D978:F992"/>
    <mergeCell ref="D1093:F1097"/>
    <mergeCell ref="A1104:G1104"/>
    <mergeCell ref="D205:F205"/>
    <mergeCell ref="D151:F168"/>
    <mergeCell ref="D128:F129"/>
    <mergeCell ref="D1059:F1062"/>
    <mergeCell ref="D974:F974"/>
    <mergeCell ref="D536:F538"/>
    <mergeCell ref="D387:F390"/>
    <mergeCell ref="A606:G606"/>
    <mergeCell ref="D688:F688"/>
    <mergeCell ref="D1031:F1032"/>
    <mergeCell ref="D913:F914"/>
    <mergeCell ref="D1037:F1037"/>
    <mergeCell ref="A994:G994"/>
    <mergeCell ref="A615:G615"/>
    <mergeCell ref="D307:F311"/>
    <mergeCell ref="D245:F247"/>
    <mergeCell ref="D516:F518"/>
    <mergeCell ref="D714:F715"/>
    <mergeCell ref="D760:F760"/>
    <mergeCell ref="A5:G5"/>
    <mergeCell ref="D313:F314"/>
    <mergeCell ref="D288:F288"/>
    <mergeCell ref="D239:F243"/>
    <mergeCell ref="D420:F421"/>
    <mergeCell ref="D1115:F1119"/>
    <mergeCell ref="D259:F260"/>
    <mergeCell ref="D915:F916"/>
    <mergeCell ref="D930:F933"/>
    <mergeCell ref="D560:F562"/>
    <mergeCell ref="D305:F305"/>
    <mergeCell ref="D619:F619"/>
    <mergeCell ref="D690:F690"/>
    <mergeCell ref="D546:F546"/>
    <mergeCell ref="D699:F699"/>
    <mergeCell ref="D997:F997"/>
    <mergeCell ref="D910:F910"/>
    <mergeCell ref="D743:F747"/>
    <mergeCell ref="D1049:F1049"/>
    <mergeCell ref="D623:F624"/>
    <mergeCell ref="D638:F639"/>
    <mergeCell ref="D474:F487"/>
    <mergeCell ref="D927:F928"/>
    <mergeCell ref="A786:G786"/>
    <mergeCell ref="D1107:F1108"/>
    <mergeCell ref="A584:G584"/>
    <mergeCell ref="D1141:F1145"/>
    <mergeCell ref="D357:F359"/>
    <mergeCell ref="D641:F643"/>
    <mergeCell ref="D600:F601"/>
    <mergeCell ref="A222:G222"/>
    <mergeCell ref="D201:F201"/>
    <mergeCell ref="E211:F211"/>
    <mergeCell ref="D429:F432"/>
    <mergeCell ref="A496:G496"/>
    <mergeCell ref="D1134:F1139"/>
    <mergeCell ref="D870:F873"/>
    <mergeCell ref="D651:F651"/>
    <mergeCell ref="D362:F373"/>
    <mergeCell ref="D617:F618"/>
    <mergeCell ref="D611:F612"/>
    <mergeCell ref="D878:F878"/>
    <mergeCell ref="D770:F773"/>
    <mergeCell ref="D303:F303"/>
    <mergeCell ref="D267:F268"/>
    <mergeCell ref="A653:G653"/>
    <mergeCell ref="D999:F1000"/>
    <mergeCell ref="D779:F780"/>
    <mergeCell ref="A1043:G1043"/>
    <mergeCell ref="D996:F996"/>
    <mergeCell ref="D957:F962"/>
    <mergeCell ref="D1021:F1022"/>
    <mergeCell ref="D899:F902"/>
    <mergeCell ref="D1042:F1042"/>
    <mergeCell ref="D609:F609"/>
    <mergeCell ref="D836:F836"/>
    <mergeCell ref="D813:F818"/>
    <mergeCell ref="D886:F887"/>
    <mergeCell ref="D756:F756"/>
    <mergeCell ref="D621:F621"/>
    <mergeCell ref="A758:G758"/>
    <mergeCell ref="D707:F712"/>
    <mergeCell ref="D734:F736"/>
    <mergeCell ref="D695:F697"/>
    <mergeCell ref="D674:F682"/>
    <mergeCell ref="D1007:F1010"/>
    <mergeCell ref="D1019:F1019"/>
    <mergeCell ref="D853:F855"/>
    <mergeCell ref="D888:F893"/>
    <mergeCell ref="D883:F884"/>
    <mergeCell ref="D775:F777"/>
    <mergeCell ref="D837:F837"/>
    <mergeCell ref="D1111:F1113"/>
    <mergeCell ref="D1069:F1073"/>
    <mergeCell ref="D839:F839"/>
    <mergeCell ref="D557:F558"/>
    <mergeCell ref="D1017:F1017"/>
    <mergeCell ref="D433:F433"/>
    <mergeCell ref="D284:F285"/>
    <mergeCell ref="G1553:I1553"/>
    <mergeCell ref="D763:F768"/>
    <mergeCell ref="D880:F880"/>
    <mergeCell ref="D1100:F1102"/>
    <mergeCell ref="D857:F858"/>
    <mergeCell ref="D532:F534"/>
    <mergeCell ref="D1081:F1082"/>
    <mergeCell ref="D334:F342"/>
    <mergeCell ref="D655:F655"/>
    <mergeCell ref="D1109:F1109"/>
    <mergeCell ref="D1027:F1027"/>
    <mergeCell ref="D1012:F1013"/>
    <mergeCell ref="D355:F355"/>
    <mergeCell ref="D749:F755"/>
    <mergeCell ref="D704:F704"/>
    <mergeCell ref="D866:F866"/>
    <mergeCell ref="D906:F906"/>
    <mergeCell ref="D1086:F1089"/>
    <mergeCell ref="A521:G521"/>
    <mergeCell ref="D1040:F1040"/>
    <mergeCell ref="D645:F646"/>
    <mergeCell ref="D820:F825"/>
    <mergeCell ref="A300:G300"/>
    <mergeCell ref="D171:F175"/>
    <mergeCell ref="D68:F70"/>
    <mergeCell ref="D1041:F1041"/>
    <mergeCell ref="D975:F975"/>
    <mergeCell ref="D297:F298"/>
    <mergeCell ref="D686:F686"/>
    <mergeCell ref="D626:F627"/>
    <mergeCell ref="D1046:F1046"/>
    <mergeCell ref="D977:F977"/>
    <mergeCell ref="D375:F378"/>
    <mergeCell ref="D629:F630"/>
    <mergeCell ref="D795:F797"/>
    <mergeCell ref="D911:F911"/>
    <mergeCell ref="D92:F94"/>
    <mergeCell ref="D782:F784"/>
    <mergeCell ref="D738:F741"/>
    <mergeCell ref="A282:G282"/>
    <mergeCell ref="D193:F194"/>
    <mergeCell ref="A2:I2"/>
    <mergeCell ref="D264:F264"/>
    <mergeCell ref="A9:G9"/>
    <mergeCell ref="D41:F45"/>
    <mergeCell ref="D24:F25"/>
    <mergeCell ref="D47:F50"/>
    <mergeCell ref="D316:F316"/>
    <mergeCell ref="D225:F225"/>
    <mergeCell ref="D632:F632"/>
    <mergeCell ref="D293:F295"/>
    <mergeCell ref="D11:F12"/>
    <mergeCell ref="D36:F39"/>
    <mergeCell ref="A75:G75"/>
    <mergeCell ref="D72:F73"/>
    <mergeCell ref="A3:I3"/>
    <mergeCell ref="D80:F87"/>
    <mergeCell ref="D13:F13"/>
    <mergeCell ref="D20:F21"/>
    <mergeCell ref="D498:F498"/>
    <mergeCell ref="D523:F523"/>
    <mergeCell ref="D554:F555"/>
    <mergeCell ref="D504:F507"/>
    <mergeCell ref="D571:F571"/>
    <mergeCell ref="A4:G4"/>
    <mergeCell ref="A6:G7"/>
    <mergeCell ref="D587:F587"/>
    <mergeCell ref="D551:F552"/>
    <mergeCell ref="D27:F31"/>
    <mergeCell ref="D700:F700"/>
    <mergeCell ref="D603:F604"/>
    <mergeCell ref="D499:F499"/>
    <mergeCell ref="D210:F210"/>
    <mergeCell ref="D514:F514"/>
    <mergeCell ref="D435:F465"/>
    <mergeCell ref="D78:F78"/>
    <mergeCell ref="E215:F215"/>
    <mergeCell ref="D608:F608"/>
    <mergeCell ref="D224:F224"/>
    <mergeCell ref="B542:F542"/>
    <mergeCell ref="A186:G186"/>
    <mergeCell ref="D202:F202"/>
    <mergeCell ref="D65:F66"/>
    <mergeCell ref="D195:F195"/>
    <mergeCell ref="D177:F180"/>
    <mergeCell ref="D15:F17"/>
    <mergeCell ref="D527:F528"/>
    <mergeCell ref="D669:F672"/>
    <mergeCell ref="D33:F34"/>
    <mergeCell ref="D877:F877"/>
    <mergeCell ref="D549:F549"/>
    <mergeCell ref="D233:F237"/>
    <mergeCell ref="D89:F90"/>
    <mergeCell ref="D287:F287"/>
    <mergeCell ref="D636:F636"/>
    <mergeCell ref="D100:F101"/>
    <mergeCell ref="D182:F184"/>
    <mergeCell ref="E203:F203"/>
    <mergeCell ref="D351:F351"/>
    <mergeCell ref="D278:F280"/>
    <mergeCell ref="D511:F512"/>
    <mergeCell ref="D809:F811"/>
    <mergeCell ref="D730:F732"/>
    <mergeCell ref="A834:G834"/>
    <mergeCell ref="D103:F117"/>
    <mergeCell ref="D266:F266"/>
    <mergeCell ref="B188:F188"/>
    <mergeCell ref="D217:F220"/>
    <mergeCell ref="D570:F570"/>
    <mergeCell ref="D867:F867"/>
    <mergeCell ref="D467:F469"/>
    <mergeCell ref="D803:F808"/>
    <mergeCell ref="D859:F864"/>
  </mergeCells>
  <dataValidations count="2">
    <dataValidation type="list" allowBlank="1" showInputMessage="1" showErrorMessage="1" sqref="IX217 ST217 ACP217 AML217 AWH217 BGD217 BPZ217 BZV217 CJR217 CTN217 DDJ217 DNF217 DXB217 EGX217 EQT217 FAP217 FKL217 FUH217 GED217 GNZ217 GXV217 HHR217 HRN217 IBJ217 ILF217 IVB217 JEX217 JOT217 JYP217 KIL217 KSH217 LCD217 LLZ217 LVV217 MFR217 MPN217 MZJ217 NJF217 NTB217 OCX217 OMT217 OWP217 PGL217 PQH217 QAD217 QJZ217 QTV217 RDR217 RNN217 RXJ217 SHF217 SRB217 TAX217 TKT217 TUP217 UEL217 UOH217 UYD217 VHZ217 VRV217 WBR217 WLN217 WVJ217" xr:uid="{00000000-0002-0000-0200-000000000000}">
      <formula1>$I$2:$I$4</formula1>
    </dataValidation>
    <dataValidation type="list" allowBlank="1" showInputMessage="1" showErrorMessage="1" sqref="B15 B20 B24 B27 B33 B36 B41 B47 B52 B56 B61 B65 B68 B72 B80 B89 B92 B96 B100 B103 B119 B128 B131 B137 B151 B171 B177 B182 B197 B201 B205 B209 B213 B217 B228 B233 B245 B250 B256 B259 B267 B271 B278 B290 B293 B297 B305 B307 B313 B316 B318 B334 B344 B355 B360 B362 B375 B380 B387 B420 B423 B429 B435 B467 B471 B474 B478 B481 B486 B488 B494 B501 B504 B509 B511 B514 B516 B527 B530 B536 B549 B551 B554 B557 B560 B564 B567 B570 B574 B579 B589 B591 B595 B600 B603 B611 B621 B623 B626 B629 B632 B638 B645 B648 B651 B658 B663 B669 B674 B690 B695 B699 B703 B707 B714 B717 B730 B734 B738 B743 B749 B763 B770 B775 B779 B782 B791 B795 B799 B803 B813 B820 B827 B839 B842 B853 B857 B866 B870 B880 B883 B886 B895 B899 B908 B913 B918 B927 B930 B935 B937 B939 B949 B957 B964 B969 B975 B978 B999 B1007 B1012 B1015 B1017 B1019 B1021 B1024 B1027 B1029 B1031 B1040 B1046 B1051 B1059 B1067 B1069 B1078 B1081 B1085 B1093 B1100 B1107 B1111 B1115 B1121 B1125 B1129 B1134 B1141" xr:uid="{00000000-0002-0000-0200-000001000000}">
      <formula1>"(select one),Need to Provide,Provided,Not Applicable"</formula1>
    </dataValidation>
  </dataValidations>
  <hyperlinks>
    <hyperlink ref="D169" r:id="rId1" display="https://www.treasurer.ca.gov/ctcac/cuac/index.asp" xr:uid="{00000000-0004-0000-0200-000000000000}"/>
    <hyperlink ref="D433" r:id="rId2" xr:uid="{00000000-0004-0000-0200-000001000000}"/>
    <hyperlink ref="D1109" r:id="rId3" xr:uid="{00000000-0004-0000-0200-000002000000}"/>
  </hyperlinks>
  <printOptions horizontalCentered="1"/>
  <pageMargins left="0.75" right="0.5" top="1" bottom="1" header="0.5" footer="0.5"/>
  <pageSetup scale="77" fitToHeight="20" orientation="portrait" r:id="rId4"/>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GC2026"/>
  <sheetViews>
    <sheetView showGridLines="0" tabSelected="1" view="pageBreakPreview" topLeftCell="A2" zoomScale="115" zoomScaleNormal="100" zoomScaleSheetLayoutView="115" workbookViewId="0">
      <selection activeCell="AC744" sqref="AC744:AG744"/>
    </sheetView>
  </sheetViews>
  <sheetFormatPr defaultColWidth="0" defaultRowHeight="0" customHeight="1" zeroHeight="1"/>
  <cols>
    <col min="1" max="45" width="2.6640625" customWidth="1"/>
    <col min="46" max="46" width="12.44140625" customWidth="1"/>
    <col min="47" max="47" width="12.44140625" hidden="1" customWidth="1"/>
    <col min="48" max="16384" width="12.44140625" hidden="1"/>
  </cols>
  <sheetData>
    <row r="1" spans="1:58" ht="12.9" customHeight="1">
      <c r="J1" s="100"/>
      <c r="AS1" s="1026">
        <v>4</v>
      </c>
      <c r="BD1" s="3" t="s">
        <v>761</v>
      </c>
      <c r="BE1" s="3"/>
      <c r="BF1" s="3"/>
    </row>
    <row r="2" spans="1:58" ht="12.9" customHeight="1">
      <c r="BD2" s="3" t="s">
        <v>762</v>
      </c>
      <c r="BE2" s="3" t="s">
        <v>763</v>
      </c>
      <c r="BF2" s="3" t="s">
        <v>764</v>
      </c>
    </row>
    <row r="3" spans="1:58" ht="12.9" customHeight="1">
      <c r="BD3" s="3" t="s">
        <v>765</v>
      </c>
      <c r="BE3" t="str">
        <f>AC220</f>
        <v>City of Los Angeles</v>
      </c>
    </row>
    <row r="4" spans="1:58" ht="12.9" customHeight="1">
      <c r="BD4" s="3" t="s">
        <v>766</v>
      </c>
      <c r="BE4" s="1177"/>
    </row>
    <row r="5" spans="1:58" ht="12.9" customHeight="1">
      <c r="BD5" s="3" t="s">
        <v>767</v>
      </c>
      <c r="BE5">
        <f>SUMIF($AC$726:$AC$760,"&lt;=20%",$G$726:G$760)</f>
        <v>0</v>
      </c>
      <c r="BF5" s="3" t="s">
        <v>768</v>
      </c>
    </row>
    <row r="6" spans="1:58" ht="12.9" customHeight="1">
      <c r="BD6" s="3" t="s">
        <v>769</v>
      </c>
      <c r="BE6" s="1180">
        <f>SUMIF($AC$726:$AC$760,"&lt;=25%",$G$726:G$760)-SUM($BE$5:BE5)</f>
        <v>0</v>
      </c>
    </row>
    <row r="7" spans="1:58" ht="12.9" customHeight="1">
      <c r="BD7" s="1178" t="s">
        <v>770</v>
      </c>
      <c r="BE7" s="1180">
        <f>SUMIF($AC$726:$AC$760,"&lt;=30%",$G$726:G$760)-SUM($BE$5:BE6)</f>
        <v>8</v>
      </c>
    </row>
    <row r="8" spans="1:58" ht="26.25" customHeight="1">
      <c r="A8" s="1619" t="s">
        <v>771</v>
      </c>
      <c r="B8" s="1298"/>
      <c r="C8" s="1298"/>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1298"/>
      <c r="AE8" s="1298"/>
      <c r="AF8" s="1298"/>
      <c r="AG8" s="1298"/>
      <c r="AH8" s="1298"/>
      <c r="AI8" s="1298"/>
      <c r="AJ8" s="1298"/>
      <c r="AK8" s="1298"/>
      <c r="AL8" s="1298"/>
      <c r="AM8" s="1298"/>
      <c r="AN8" s="1298"/>
      <c r="AO8" s="1298"/>
      <c r="AP8" s="1298"/>
      <c r="AQ8" s="1298"/>
      <c r="AR8" s="1298"/>
      <c r="AS8" s="1298"/>
      <c r="AT8" s="1298"/>
      <c r="AU8" s="894"/>
      <c r="AV8" s="894"/>
      <c r="AW8" s="894"/>
      <c r="AX8" s="894"/>
      <c r="AY8" s="894"/>
      <c r="BD8" s="3" t="s">
        <v>772</v>
      </c>
      <c r="BE8" s="1180">
        <f>SUMIF($AC$726:$AC$760,"&lt;=35%",$G$726:G$760)-SUM($BE$5:BE7)</f>
        <v>1</v>
      </c>
    </row>
    <row r="9" spans="1:58" ht="12.9" customHeight="1">
      <c r="A9" s="1621" t="s">
        <v>773</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298"/>
      <c r="AN9" s="1298"/>
      <c r="AO9" s="1298"/>
      <c r="AP9" s="1298"/>
      <c r="AQ9" s="1298"/>
      <c r="AR9" s="1298"/>
      <c r="AS9" s="1298"/>
      <c r="AT9" s="1298"/>
      <c r="AU9" s="13"/>
      <c r="AV9" s="13"/>
      <c r="AW9" s="13"/>
      <c r="AX9" s="13"/>
      <c r="AY9" s="13"/>
      <c r="BD9" s="1179" t="s">
        <v>774</v>
      </c>
      <c r="BE9" s="1180">
        <f>SUMIF($AC$726:$AC$760,"&lt;=40%",$G$726:G$760)-SUM($BE$5:BE8)</f>
        <v>17</v>
      </c>
    </row>
    <row r="10" spans="1:58" ht="12.9" customHeight="1">
      <c r="A10" s="1621" t="s">
        <v>775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298"/>
      <c r="AN10" s="1298"/>
      <c r="AO10" s="1298"/>
      <c r="AP10" s="1298"/>
      <c r="AQ10" s="1298"/>
      <c r="AR10" s="1298"/>
      <c r="AS10" s="1298"/>
      <c r="AT10" s="1298"/>
      <c r="AU10" s="13"/>
      <c r="AV10" s="13"/>
      <c r="AW10" s="13"/>
      <c r="AX10" s="13"/>
      <c r="AY10" s="13"/>
      <c r="BD10" s="3" t="s">
        <v>776</v>
      </c>
      <c r="BE10" s="1180">
        <f>SUMIF($AC$726:$AC$760,"&lt;=45%",$G$726:G$760)-SUM($BE$5:BE9)</f>
        <v>5</v>
      </c>
    </row>
    <row r="11" spans="1:58" ht="12.9" customHeight="1">
      <c r="A11" s="1621" t="s">
        <v>777</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298"/>
      <c r="AN11" s="1298"/>
      <c r="AO11" s="1298"/>
      <c r="AP11" s="1298"/>
      <c r="AQ11" s="1298"/>
      <c r="AR11" s="1298"/>
      <c r="AS11" s="1298"/>
      <c r="AT11" s="1298"/>
      <c r="AU11" s="13"/>
      <c r="AV11" s="13"/>
      <c r="AW11" s="13"/>
      <c r="AX11" s="13"/>
      <c r="AY11" s="13"/>
      <c r="BD11" s="1178" t="s">
        <v>778</v>
      </c>
      <c r="BE11" s="1180">
        <f>SUMIF($AC$726:$AC$760,"&lt;=50%",$G$726:G$760)-SUM($BE$5:BE10)</f>
        <v>14</v>
      </c>
    </row>
    <row r="12" spans="1:58" ht="12.9" customHeight="1">
      <c r="A12" s="1532" t="s">
        <v>779</v>
      </c>
      <c r="B12" s="1298"/>
      <c r="C12" s="1298"/>
      <c r="D12" s="1298"/>
      <c r="E12" s="1298"/>
      <c r="F12" s="1298"/>
      <c r="G12" s="1298"/>
      <c r="H12" s="1298"/>
      <c r="I12" s="1298"/>
      <c r="J12" s="1298"/>
      <c r="K12" s="1298"/>
      <c r="L12" s="1298"/>
      <c r="M12" s="1298"/>
      <c r="N12" s="1298"/>
      <c r="O12" s="1298"/>
      <c r="P12" s="1298"/>
      <c r="Q12" s="1298"/>
      <c r="R12" s="1298"/>
      <c r="S12" s="1298"/>
      <c r="T12" s="1298"/>
      <c r="U12" s="1298"/>
      <c r="V12" s="1298"/>
      <c r="W12" s="1298"/>
      <c r="X12" s="1298"/>
      <c r="Y12" s="1298"/>
      <c r="Z12" s="1298"/>
      <c r="AA12" s="1298"/>
      <c r="AB12" s="1298"/>
      <c r="AC12" s="1298"/>
      <c r="AD12" s="1298"/>
      <c r="AE12" s="1298"/>
      <c r="AF12" s="1298"/>
      <c r="AG12" s="1298"/>
      <c r="AH12" s="1298"/>
      <c r="AI12" s="1298"/>
      <c r="AJ12" s="1298"/>
      <c r="AK12" s="1298"/>
      <c r="AL12" s="1298"/>
      <c r="AM12" s="1298"/>
      <c r="AN12" s="1298"/>
      <c r="AO12" s="1298"/>
      <c r="AP12" s="1298"/>
      <c r="AQ12" s="1298"/>
      <c r="AR12" s="1298"/>
      <c r="AS12" s="1298"/>
      <c r="AT12" s="1298"/>
      <c r="AU12" s="6"/>
      <c r="AV12" s="6"/>
      <c r="AW12" s="6"/>
      <c r="AX12" s="6"/>
      <c r="AY12" s="6"/>
      <c r="BD12" s="3" t="s">
        <v>780</v>
      </c>
      <c r="BE12" s="1180">
        <f>SUMIF($AC$726:$AC$760,"&lt;=55%",$G$726:G$760)-SUM($BE$5:BE11)</f>
        <v>0</v>
      </c>
    </row>
    <row r="13" spans="1:58" ht="12.9" customHeight="1">
      <c r="A13" s="1408" t="s">
        <v>781</v>
      </c>
      <c r="B13" s="1298"/>
      <c r="C13" s="1298"/>
      <c r="D13" s="1298"/>
      <c r="E13" s="1298"/>
      <c r="F13" s="1298"/>
      <c r="G13" s="1298"/>
      <c r="H13" s="1298"/>
      <c r="I13" s="1298"/>
      <c r="J13" s="1298"/>
      <c r="K13" s="1298"/>
      <c r="L13" s="1298"/>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895"/>
      <c r="AV13" s="895"/>
      <c r="AW13" s="895"/>
      <c r="AX13" s="895"/>
      <c r="AY13" s="895"/>
      <c r="BD13" s="1179" t="s">
        <v>782</v>
      </c>
      <c r="BE13" s="1180">
        <f>SUMIF($AC$726:$AC$760,"&lt;=60%",$G$726:G$760)-SUM($BE$5:BE12)</f>
        <v>19</v>
      </c>
    </row>
    <row r="14" spans="1:58" ht="12.9" customHeight="1">
      <c r="A14" s="1298"/>
      <c r="B14" s="1298"/>
      <c r="C14" s="1298"/>
      <c r="D14" s="1298"/>
      <c r="E14" s="1298"/>
      <c r="F14" s="1298"/>
      <c r="G14" s="1298"/>
      <c r="H14" s="1298"/>
      <c r="I14" s="1298"/>
      <c r="J14" s="1298"/>
      <c r="K14" s="1298"/>
      <c r="L14" s="1298"/>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c r="AH14" s="1298"/>
      <c r="AI14" s="1298"/>
      <c r="AJ14" s="1298"/>
      <c r="AK14" s="1298"/>
      <c r="AL14" s="1298"/>
      <c r="AM14" s="1298"/>
      <c r="AN14" s="1298"/>
      <c r="AO14" s="1298"/>
      <c r="AP14" s="1298"/>
      <c r="AQ14" s="1298"/>
      <c r="AR14" s="1298"/>
      <c r="AS14" s="1298"/>
      <c r="AT14" s="1298"/>
      <c r="AU14" s="895"/>
      <c r="AV14" s="895"/>
      <c r="AW14" s="895"/>
      <c r="AX14" s="895"/>
      <c r="AY14" s="895"/>
      <c r="BD14" s="1178" t="s">
        <v>783</v>
      </c>
      <c r="BE14" s="1180">
        <f>SUMIF($AC$726:$AC$760,"&lt;=70%",$G$726:G$760)-SUM($BE$5:BE13)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79" t="s">
        <v>784</v>
      </c>
      <c r="BE15" s="1180">
        <f>SUMIF($AC$726:$AC$760,"&lt;=80%",$G$726:G$760)-SUM($BE$5:BE14)</f>
        <v>0</v>
      </c>
    </row>
    <row r="16" spans="1:58" ht="12.9" customHeight="1">
      <c r="A16" s="57" t="s">
        <v>785</v>
      </c>
      <c r="C16" s="4"/>
      <c r="D16" s="4"/>
      <c r="E16" s="4"/>
      <c r="F16" s="4"/>
      <c r="G16" s="4"/>
      <c r="H16" s="1582" t="s">
        <v>2734</v>
      </c>
      <c r="I16" s="1294"/>
      <c r="J16" s="1294"/>
      <c r="K16" s="1294"/>
      <c r="L16" s="1294"/>
      <c r="M16" s="1294"/>
      <c r="N16" s="1294"/>
      <c r="O16" s="1294"/>
      <c r="P16" s="1294"/>
      <c r="Q16" s="1294"/>
      <c r="R16" s="1294"/>
      <c r="S16" s="1294"/>
      <c r="T16" s="1294"/>
      <c r="U16" s="1294"/>
      <c r="V16" s="1294"/>
      <c r="W16" s="1294"/>
      <c r="X16" s="1294"/>
      <c r="Y16" s="1294"/>
      <c r="Z16" s="1294"/>
      <c r="AA16" s="1294"/>
      <c r="AB16" s="1294"/>
      <c r="AC16" s="1294"/>
      <c r="AD16" s="1294"/>
      <c r="AE16" s="1294"/>
      <c r="AF16" s="1294"/>
      <c r="AG16" s="1294"/>
      <c r="AH16" s="1294"/>
      <c r="AI16" s="1294"/>
      <c r="AJ16" s="1294"/>
      <c r="BD16" s="1179" t="s">
        <v>189</v>
      </c>
      <c r="BE16" s="1180" t="str">
        <f>Application!H18</f>
        <v>Broadway Villages</v>
      </c>
    </row>
    <row r="17" spans="1:58" ht="12.9" customHeight="1">
      <c r="BD17" s="1178" t="s">
        <v>786</v>
      </c>
      <c r="BE17" s="1180">
        <f>Application!AA943</f>
        <v>0</v>
      </c>
    </row>
    <row r="18" spans="1:58" ht="12.9" customHeight="1">
      <c r="A18" s="57" t="s">
        <v>787</v>
      </c>
      <c r="C18" s="4"/>
      <c r="D18" s="4"/>
      <c r="E18" s="4"/>
      <c r="F18" s="4"/>
      <c r="G18" s="4"/>
      <c r="H18" s="1393" t="s">
        <v>2733</v>
      </c>
      <c r="I18" s="1294"/>
      <c r="J18" s="1294"/>
      <c r="K18" s="1294"/>
      <c r="L18" s="1294"/>
      <c r="M18" s="1294"/>
      <c r="N18" s="1294"/>
      <c r="O18" s="1294"/>
      <c r="P18" s="1294"/>
      <c r="Q18" s="1294"/>
      <c r="R18" s="1294"/>
      <c r="S18" s="1294"/>
      <c r="T18" s="1294"/>
      <c r="U18" s="1294"/>
      <c r="V18" s="1294"/>
      <c r="W18" s="1294"/>
      <c r="X18" s="1294"/>
      <c r="Y18" s="1294"/>
      <c r="Z18" s="1294"/>
      <c r="AA18" s="1294"/>
      <c r="AB18" s="1294"/>
      <c r="AC18" s="1294"/>
      <c r="AD18" s="1294"/>
      <c r="AE18" s="1294"/>
      <c r="AF18" s="1294"/>
      <c r="AG18" s="1294"/>
      <c r="AH18" s="1294"/>
      <c r="AI18" s="1294"/>
      <c r="AJ18" s="1294"/>
      <c r="BD18" s="1179" t="s">
        <v>788</v>
      </c>
      <c r="BE18" s="1180">
        <f>AA943</f>
        <v>0</v>
      </c>
    </row>
    <row r="19" spans="1:58" ht="12.9" customHeight="1">
      <c r="BD19" s="1178" t="s">
        <v>789</v>
      </c>
      <c r="BE19" s="1180">
        <f>Application!M26</f>
        <v>1269461</v>
      </c>
    </row>
    <row r="20" spans="1:58" ht="12.9" customHeight="1">
      <c r="A20" s="1554" t="s">
        <v>790</v>
      </c>
      <c r="B20" s="1298"/>
      <c r="C20" s="1298"/>
      <c r="D20" s="1298"/>
      <c r="E20" s="1298"/>
      <c r="F20" s="1298"/>
      <c r="G20" s="1298"/>
      <c r="H20" s="1298"/>
      <c r="I20" s="1298"/>
      <c r="J20" s="1298"/>
      <c r="K20" s="1298"/>
      <c r="L20" s="1298"/>
      <c r="M20" s="1298"/>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c r="AL20" s="1298"/>
      <c r="AM20" s="1298"/>
      <c r="AN20" s="1298"/>
      <c r="AO20" s="1298"/>
      <c r="AP20" s="1298"/>
      <c r="AQ20" s="1298"/>
      <c r="AR20" s="1298"/>
      <c r="AS20" s="1298"/>
      <c r="AT20" s="1298"/>
      <c r="AU20" s="896"/>
      <c r="AV20" s="896"/>
      <c r="AW20" s="896"/>
      <c r="AX20" s="896"/>
      <c r="AY20" s="896"/>
      <c r="BD20" s="1179" t="s">
        <v>791</v>
      </c>
      <c r="BE20" s="1180">
        <f>Application!M27</f>
        <v>0</v>
      </c>
    </row>
    <row r="21" spans="1:58" ht="12.9" customHeight="1">
      <c r="A21" s="1654" t="s">
        <v>792</v>
      </c>
      <c r="B21" s="1298"/>
      <c r="C21" s="1298"/>
      <c r="D21" s="1298"/>
      <c r="E21" s="1298"/>
      <c r="F21" s="1298"/>
      <c r="G21" s="1298"/>
      <c r="H21" s="1298"/>
      <c r="I21" s="1298"/>
      <c r="J21" s="1298"/>
      <c r="K21" s="1298"/>
      <c r="L21" s="1298"/>
      <c r="M21" s="1298"/>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c r="AL21" s="1298"/>
      <c r="AM21" s="897"/>
      <c r="AN21" s="897"/>
      <c r="AO21" s="897"/>
      <c r="AP21" s="897"/>
      <c r="AQ21" s="897"/>
      <c r="AR21" s="897"/>
      <c r="AS21" s="897"/>
      <c r="AT21" s="897"/>
      <c r="AU21" s="897"/>
      <c r="AV21" s="897"/>
      <c r="AW21" s="897"/>
      <c r="AX21" s="897"/>
      <c r="AY21" s="897"/>
      <c r="BD21" s="1178" t="s">
        <v>793</v>
      </c>
      <c r="BE21" s="1180">
        <f>Application!AM562</f>
        <v>8475000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79" t="s">
        <v>794</v>
      </c>
      <c r="BE22" s="1180">
        <f>'Sources and Uses Budget'!B105</f>
        <v>30975182</v>
      </c>
      <c r="BF22" s="3" t="s">
        <v>795</v>
      </c>
    </row>
    <row r="23" spans="1:58" ht="12.9" customHeight="1">
      <c r="A23" s="1352" t="s">
        <v>796</v>
      </c>
      <c r="B23" s="1298"/>
      <c r="C23" s="1298"/>
      <c r="D23" s="1298"/>
      <c r="E23" s="1298"/>
      <c r="F23" s="1298"/>
      <c r="G23" s="1298"/>
      <c r="H23" s="1298"/>
      <c r="I23" s="1298"/>
      <c r="J23" s="1298"/>
      <c r="K23" s="1298"/>
      <c r="L23" s="1298"/>
      <c r="M23" s="1298"/>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c r="AL23" s="1298"/>
      <c r="AM23" s="1298"/>
      <c r="AN23" s="1298"/>
      <c r="AO23" s="1298"/>
      <c r="AP23" s="1298"/>
      <c r="AQ23" s="1298"/>
      <c r="AR23" s="1298"/>
      <c r="AS23" s="1298"/>
      <c r="AT23" s="1298"/>
      <c r="AU23" s="18"/>
      <c r="AV23" s="18"/>
      <c r="AW23" s="18"/>
      <c r="AX23" s="18"/>
      <c r="AY23" s="18"/>
      <c r="AZ23" s="18"/>
      <c r="BD23" s="1178" t="s">
        <v>797</v>
      </c>
      <c r="BE23" s="1180">
        <f>'Sources and Uses Budget'!B4</f>
        <v>1313644</v>
      </c>
    </row>
    <row r="24" spans="1:58" ht="12.9" customHeight="1">
      <c r="A24" s="1298"/>
      <c r="B24" s="1298"/>
      <c r="C24" s="1298"/>
      <c r="D24" s="1298"/>
      <c r="E24" s="1298"/>
      <c r="F24" s="1298"/>
      <c r="G24" s="1298"/>
      <c r="H24" s="1298"/>
      <c r="I24" s="1298"/>
      <c r="J24" s="1298"/>
      <c r="K24" s="1298"/>
      <c r="L24" s="1298"/>
      <c r="M24" s="1298"/>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c r="AL24" s="1298"/>
      <c r="AM24" s="1298"/>
      <c r="AN24" s="1298"/>
      <c r="AO24" s="1298"/>
      <c r="AP24" s="1298"/>
      <c r="AQ24" s="1298"/>
      <c r="AR24" s="1298"/>
      <c r="AS24" s="1298"/>
      <c r="AT24" s="1298"/>
      <c r="AU24" s="18"/>
      <c r="AV24" s="18"/>
      <c r="AW24" s="18"/>
      <c r="AX24" s="18"/>
      <c r="AY24" s="18"/>
      <c r="AZ24" s="18"/>
      <c r="BD24" s="1179" t="s">
        <v>798</v>
      </c>
      <c r="BE24" s="1180">
        <f>Application!AG459</f>
        <v>76631</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78" t="s">
        <v>799</v>
      </c>
      <c r="BE25" s="1180" t="str">
        <f>Application!D208</f>
        <v>40%/60%</v>
      </c>
    </row>
    <row r="26" spans="1:58" ht="12.9" customHeight="1">
      <c r="A26" s="4"/>
      <c r="C26" s="4"/>
      <c r="D26" s="4"/>
      <c r="E26" s="4"/>
      <c r="F26" s="4"/>
      <c r="G26" s="4"/>
      <c r="H26" s="4"/>
      <c r="I26" s="4"/>
      <c r="J26" s="4"/>
      <c r="K26" s="4"/>
      <c r="L26" s="4"/>
      <c r="M26" s="1545">
        <f>'Basis &amp; Credits'!AB56</f>
        <v>1269461</v>
      </c>
      <c r="N26" s="1405"/>
      <c r="O26" s="1405"/>
      <c r="P26" s="1405"/>
      <c r="Q26" s="1405"/>
      <c r="R26" s="4" t="s">
        <v>800</v>
      </c>
      <c r="S26" s="4"/>
      <c r="T26" s="4"/>
      <c r="U26" s="4"/>
      <c r="V26" s="4"/>
      <c r="W26" s="4"/>
      <c r="X26" s="4"/>
      <c r="Y26" s="4"/>
      <c r="Z26" s="4"/>
      <c r="AF26" s="4"/>
      <c r="AG26" s="4"/>
      <c r="AH26" s="4"/>
      <c r="AI26" s="4"/>
      <c r="AJ26" s="4"/>
      <c r="AK26" s="4"/>
      <c r="BD26" s="1179" t="s">
        <v>801</v>
      </c>
      <c r="BE26" s="1180" t="b">
        <f>Application!M365="Yes"</f>
        <v>0</v>
      </c>
    </row>
    <row r="27" spans="1:58" ht="12.9" customHeight="1">
      <c r="A27" s="4"/>
      <c r="C27" s="4"/>
      <c r="D27" s="4"/>
      <c r="E27" s="4"/>
      <c r="F27" s="4"/>
      <c r="G27" s="4"/>
      <c r="H27" s="4"/>
      <c r="I27" s="4"/>
      <c r="J27" s="4"/>
      <c r="K27" s="4"/>
      <c r="L27" s="4"/>
      <c r="M27" s="1644">
        <f>'Basis &amp; Credits'!AB78</f>
        <v>0</v>
      </c>
      <c r="N27" s="1263"/>
      <c r="O27" s="1263"/>
      <c r="P27" s="1263"/>
      <c r="Q27" s="1263"/>
      <c r="R27" s="3" t="s">
        <v>802</v>
      </c>
      <c r="S27" s="4"/>
      <c r="T27" s="4"/>
      <c r="U27" s="4"/>
      <c r="V27" s="4"/>
      <c r="W27" s="4"/>
      <c r="X27" s="4"/>
      <c r="Y27" s="4"/>
      <c r="Z27" s="4"/>
      <c r="AF27" s="4"/>
      <c r="AG27" s="4"/>
      <c r="AH27" s="4"/>
      <c r="AI27" s="4"/>
      <c r="AJ27" s="4"/>
      <c r="AK27" s="4"/>
      <c r="BD27" s="1178" t="s">
        <v>803</v>
      </c>
      <c r="BE27" s="1180" t="b">
        <f>Application!M364="Yes"</f>
        <v>0</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79" t="s">
        <v>804</v>
      </c>
      <c r="BE28" s="1180" t="b">
        <f>Application!M366="Yes"</f>
        <v>0</v>
      </c>
    </row>
    <row r="29" spans="1:58" ht="12.9" customHeight="1">
      <c r="A29" s="1546" t="s">
        <v>805</v>
      </c>
      <c r="B29" s="1298"/>
      <c r="C29" s="1298"/>
      <c r="D29" s="1298"/>
      <c r="E29" s="1298"/>
      <c r="F29" s="1298"/>
      <c r="G29" s="1298"/>
      <c r="H29" s="1298"/>
      <c r="I29" s="1298"/>
      <c r="J29" s="1298"/>
      <c r="K29" s="1298"/>
      <c r="L29" s="1298"/>
      <c r="M29" s="1298"/>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c r="AL29" s="1298"/>
      <c r="AM29" s="1298"/>
      <c r="AN29" s="1298"/>
      <c r="AO29" s="1298"/>
      <c r="AP29" s="1298"/>
      <c r="AQ29" s="1298"/>
      <c r="AR29" s="1298"/>
      <c r="AS29" s="1298"/>
      <c r="AT29" s="1298"/>
      <c r="BD29" s="1178" t="s">
        <v>806</v>
      </c>
      <c r="BE29" s="1180" t="b">
        <f>Application!M367="Yes"</f>
        <v>1</v>
      </c>
    </row>
    <row r="30" spans="1:58" ht="12.9" customHeight="1">
      <c r="A30" s="1298"/>
      <c r="B30" s="1298"/>
      <c r="C30" s="1298"/>
      <c r="D30" s="1298"/>
      <c r="E30" s="1298"/>
      <c r="F30" s="1298"/>
      <c r="G30" s="1298"/>
      <c r="H30" s="1298"/>
      <c r="I30" s="1298"/>
      <c r="J30" s="1298"/>
      <c r="K30" s="1298"/>
      <c r="L30" s="1298"/>
      <c r="M30" s="1298"/>
      <c r="N30" s="1298"/>
      <c r="O30" s="1298"/>
      <c r="P30" s="1298"/>
      <c r="Q30" s="1298"/>
      <c r="R30" s="1298"/>
      <c r="S30" s="1298"/>
      <c r="T30" s="1298"/>
      <c r="U30" s="1298"/>
      <c r="V30" s="1298"/>
      <c r="W30" s="1298"/>
      <c r="X30" s="1298"/>
      <c r="Y30" s="1298"/>
      <c r="Z30" s="1298"/>
      <c r="AA30" s="1298"/>
      <c r="AB30" s="1298"/>
      <c r="AC30" s="1298"/>
      <c r="AD30" s="1298"/>
      <c r="AE30" s="1298"/>
      <c r="AF30" s="1298"/>
      <c r="AG30" s="1298"/>
      <c r="AH30" s="1298"/>
      <c r="AI30" s="1298"/>
      <c r="AJ30" s="1298"/>
      <c r="AK30" s="1298"/>
      <c r="AL30" s="1298"/>
      <c r="AM30" s="1298"/>
      <c r="AN30" s="1298"/>
      <c r="AO30" s="1298"/>
      <c r="AP30" s="1298"/>
      <c r="AQ30" s="1298"/>
      <c r="AR30" s="1298"/>
      <c r="AS30" s="1298"/>
      <c r="AT30" s="1298"/>
      <c r="AZ30" s="20"/>
      <c r="BD30" s="1179" t="s">
        <v>807</v>
      </c>
      <c r="BE30" s="1180" t="b">
        <f>Application!AJ364="Yes"</f>
        <v>0</v>
      </c>
    </row>
    <row r="31" spans="1:58" ht="12.9" customHeight="1">
      <c r="A31" s="1298"/>
      <c r="B31" s="1298"/>
      <c r="C31" s="1298"/>
      <c r="D31" s="1298"/>
      <c r="E31" s="1298"/>
      <c r="F31" s="1298"/>
      <c r="G31" s="1298"/>
      <c r="H31" s="1298"/>
      <c r="I31" s="1298"/>
      <c r="J31" s="1298"/>
      <c r="K31" s="1298"/>
      <c r="L31" s="1298"/>
      <c r="M31" s="1298"/>
      <c r="N31" s="1298"/>
      <c r="O31" s="1298"/>
      <c r="P31" s="1298"/>
      <c r="Q31" s="1298"/>
      <c r="R31" s="1298"/>
      <c r="S31" s="1298"/>
      <c r="T31" s="1298"/>
      <c r="U31" s="1298"/>
      <c r="V31" s="1298"/>
      <c r="W31" s="1298"/>
      <c r="X31" s="1298"/>
      <c r="Y31" s="1298"/>
      <c r="Z31" s="1298"/>
      <c r="AA31" s="1298"/>
      <c r="AB31" s="1298"/>
      <c r="AC31" s="1298"/>
      <c r="AD31" s="1298"/>
      <c r="AE31" s="1298"/>
      <c r="AF31" s="1298"/>
      <c r="AG31" s="1298"/>
      <c r="AH31" s="1298"/>
      <c r="AI31" s="1298"/>
      <c r="AJ31" s="1298"/>
      <c r="AK31" s="1298"/>
      <c r="AL31" s="1298"/>
      <c r="AM31" s="1298"/>
      <c r="AN31" s="1298"/>
      <c r="AO31" s="1298"/>
      <c r="AP31" s="1298"/>
      <c r="AQ31" s="1298"/>
      <c r="AR31" s="1298"/>
      <c r="AS31" s="1298"/>
      <c r="AT31" s="1298"/>
      <c r="AU31" s="20"/>
      <c r="AV31" s="20"/>
      <c r="AW31" s="20"/>
      <c r="AX31" s="20"/>
      <c r="AY31" s="20"/>
      <c r="AZ31" s="20"/>
      <c r="BD31" s="1178" t="s">
        <v>808</v>
      </c>
      <c r="BE31" s="1180"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79" t="s">
        <v>809</v>
      </c>
      <c r="BE32" s="1180">
        <f>IF(ISNUMBER(Application!W473),W473,0)</f>
        <v>0</v>
      </c>
    </row>
    <row r="33" spans="1:57" ht="12.9" hidden="1" customHeight="1">
      <c r="A33" s="519" t="s">
        <v>810</v>
      </c>
      <c r="C33" s="519"/>
      <c r="D33" s="519"/>
      <c r="E33" s="519"/>
      <c r="F33" s="519"/>
      <c r="G33" s="519"/>
      <c r="H33" s="519"/>
      <c r="I33" s="519"/>
      <c r="J33" s="519"/>
      <c r="K33" s="519"/>
      <c r="L33" s="519"/>
      <c r="M33" s="519"/>
      <c r="N33" s="519"/>
      <c r="O33" s="1401" t="s">
        <v>811</v>
      </c>
      <c r="P33" s="1294"/>
      <c r="Q33" s="1587" t="s">
        <v>812</v>
      </c>
      <c r="R33" s="1298"/>
      <c r="S33" s="1298"/>
      <c r="T33" s="1298"/>
      <c r="U33" s="1298"/>
      <c r="V33" s="1298"/>
      <c r="W33" s="1298"/>
      <c r="X33" s="1298"/>
      <c r="Y33" s="1298"/>
      <c r="Z33" s="1298"/>
      <c r="AA33" s="1298"/>
      <c r="AB33" s="1298"/>
      <c r="AC33" s="1298"/>
      <c r="AD33" s="1298"/>
      <c r="AE33" s="1298"/>
      <c r="AF33" s="1298"/>
      <c r="AG33" s="1298"/>
      <c r="AH33" s="1298"/>
      <c r="AI33" s="1298"/>
      <c r="AJ33" s="1298"/>
      <c r="AK33" s="1298"/>
      <c r="AL33" s="1298"/>
      <c r="AM33" s="1298"/>
      <c r="AN33" s="1298"/>
      <c r="AO33" s="1298"/>
      <c r="AP33" s="1298"/>
      <c r="AQ33" s="1298"/>
      <c r="AR33" s="1298"/>
      <c r="AS33" s="1298"/>
      <c r="AT33" s="1298"/>
      <c r="AU33" s="20"/>
      <c r="AV33" s="20"/>
      <c r="AW33" s="20"/>
      <c r="AX33" s="20"/>
      <c r="AY33" s="20"/>
      <c r="BD33" s="1178" t="s">
        <v>813</v>
      </c>
      <c r="BE33" s="1180" t="str">
        <f>Application!D220</f>
        <v>City of Los Angeles</v>
      </c>
    </row>
    <row r="34" spans="1:57" ht="12.9" hidden="1" customHeight="1">
      <c r="A34" s="1546" t="s">
        <v>814</v>
      </c>
      <c r="B34" s="1298"/>
      <c r="C34" s="1298"/>
      <c r="D34" s="1298"/>
      <c r="E34" s="1298"/>
      <c r="F34" s="1298"/>
      <c r="G34" s="1298"/>
      <c r="H34" s="1298"/>
      <c r="I34" s="1298"/>
      <c r="J34" s="1298"/>
      <c r="K34" s="1298"/>
      <c r="L34" s="1298"/>
      <c r="M34" s="1298"/>
      <c r="N34" s="1298"/>
      <c r="O34" s="1298"/>
      <c r="P34" s="1298"/>
      <c r="Q34" s="1298"/>
      <c r="R34" s="1298"/>
      <c r="S34" s="1298"/>
      <c r="T34" s="1298"/>
      <c r="U34" s="1298"/>
      <c r="V34" s="1298"/>
      <c r="W34" s="1298"/>
      <c r="X34" s="1298"/>
      <c r="Y34" s="1298"/>
      <c r="Z34" s="1298"/>
      <c r="AA34" s="1298"/>
      <c r="AB34" s="1298"/>
      <c r="AC34" s="1298"/>
      <c r="AD34" s="1298"/>
      <c r="AE34" s="1298"/>
      <c r="AF34" s="1298"/>
      <c r="AG34" s="1298"/>
      <c r="AH34" s="1298"/>
      <c r="AI34" s="1298"/>
      <c r="AJ34" s="1298"/>
      <c r="AK34" s="1298"/>
      <c r="AL34" s="1298"/>
      <c r="AM34" s="1298"/>
      <c r="AN34" s="1298"/>
      <c r="AO34" s="1298"/>
      <c r="AP34" s="1298"/>
      <c r="AQ34" s="1298"/>
      <c r="AR34" s="1298"/>
      <c r="AS34" s="1298"/>
      <c r="AT34" s="1298"/>
      <c r="AU34" s="20"/>
      <c r="AV34" s="20"/>
      <c r="AW34" s="20"/>
      <c r="AX34" s="20"/>
      <c r="AY34" s="20"/>
      <c r="AZ34" s="20"/>
      <c r="BD34" s="1179" t="s">
        <v>815</v>
      </c>
      <c r="BE34" s="1180" t="str">
        <f>Application!I185</f>
        <v xml:space="preserve">7800 Broadway (aka 254 W. 78th Street); 5101 S. Broadway </v>
      </c>
    </row>
    <row r="35" spans="1:57" ht="12.9" hidden="1" customHeight="1">
      <c r="A35" s="1298"/>
      <c r="B35" s="1298"/>
      <c r="C35" s="1298"/>
      <c r="D35" s="1298"/>
      <c r="E35" s="1298"/>
      <c r="F35" s="1298"/>
      <c r="G35" s="1298"/>
      <c r="H35" s="1298"/>
      <c r="I35" s="1298"/>
      <c r="J35" s="1298"/>
      <c r="K35" s="1298"/>
      <c r="L35" s="1298"/>
      <c r="M35" s="1298"/>
      <c r="N35" s="1298"/>
      <c r="O35" s="1298"/>
      <c r="P35" s="1298"/>
      <c r="Q35" s="1298"/>
      <c r="R35" s="1298"/>
      <c r="S35" s="1298"/>
      <c r="T35" s="1298"/>
      <c r="U35" s="1298"/>
      <c r="V35" s="1298"/>
      <c r="W35" s="1298"/>
      <c r="X35" s="1298"/>
      <c r="Y35" s="1298"/>
      <c r="Z35" s="1298"/>
      <c r="AA35" s="1298"/>
      <c r="AB35" s="1298"/>
      <c r="AC35" s="1298"/>
      <c r="AD35" s="1298"/>
      <c r="AE35" s="1298"/>
      <c r="AF35" s="1298"/>
      <c r="AG35" s="1298"/>
      <c r="AH35" s="1298"/>
      <c r="AI35" s="1298"/>
      <c r="AJ35" s="1298"/>
      <c r="AK35" s="1298"/>
      <c r="AL35" s="1298"/>
      <c r="AM35" s="1298"/>
      <c r="AN35" s="1298"/>
      <c r="AO35" s="1298"/>
      <c r="AP35" s="1298"/>
      <c r="AQ35" s="1298"/>
      <c r="AR35" s="1298"/>
      <c r="AS35" s="1298"/>
      <c r="AT35" s="1298"/>
      <c r="AU35" s="20"/>
      <c r="AV35" s="20"/>
      <c r="AW35" s="20"/>
      <c r="AX35" s="20"/>
      <c r="AY35" s="20"/>
      <c r="AZ35" s="20"/>
      <c r="BD35" s="1178" t="s">
        <v>816</v>
      </c>
      <c r="BE35" s="1180" t="str">
        <f>IF(Application!E187="","",Application!E187)</f>
        <v/>
      </c>
    </row>
    <row r="36" spans="1:57" ht="12.9" hidden="1" customHeight="1">
      <c r="A36" s="1298"/>
      <c r="B36" s="1298"/>
      <c r="C36" s="1298"/>
      <c r="D36" s="1298"/>
      <c r="E36" s="1298"/>
      <c r="F36" s="1298"/>
      <c r="G36" s="1298"/>
      <c r="H36" s="1298"/>
      <c r="I36" s="1298"/>
      <c r="J36" s="1298"/>
      <c r="K36" s="1298"/>
      <c r="L36" s="1298"/>
      <c r="M36" s="1298"/>
      <c r="N36" s="1298"/>
      <c r="O36" s="1298"/>
      <c r="P36" s="1298"/>
      <c r="Q36" s="1298"/>
      <c r="R36" s="1298"/>
      <c r="S36" s="1298"/>
      <c r="T36" s="1298"/>
      <c r="U36" s="1298"/>
      <c r="V36" s="1298"/>
      <c r="W36" s="1298"/>
      <c r="X36" s="1298"/>
      <c r="Y36" s="1298"/>
      <c r="Z36" s="1298"/>
      <c r="AA36" s="1298"/>
      <c r="AB36" s="1298"/>
      <c r="AC36" s="1298"/>
      <c r="AD36" s="1298"/>
      <c r="AE36" s="1298"/>
      <c r="AF36" s="1298"/>
      <c r="AG36" s="1298"/>
      <c r="AH36" s="1298"/>
      <c r="AI36" s="1298"/>
      <c r="AJ36" s="1298"/>
      <c r="AK36" s="1298"/>
      <c r="AL36" s="1298"/>
      <c r="AM36" s="1298"/>
      <c r="AN36" s="1298"/>
      <c r="AO36" s="1298"/>
      <c r="AP36" s="1298"/>
      <c r="AQ36" s="1298"/>
      <c r="AR36" s="1298"/>
      <c r="AS36" s="1298"/>
      <c r="AT36" s="1298"/>
      <c r="AU36" s="20"/>
      <c r="AV36" s="20"/>
      <c r="AW36" s="20"/>
      <c r="AX36" s="20"/>
      <c r="AY36" s="20"/>
      <c r="AZ36" s="20"/>
      <c r="BD36" s="1179" t="s">
        <v>817</v>
      </c>
      <c r="BE36" s="1180" t="str">
        <f>Application!I189</f>
        <v>Los Angeles</v>
      </c>
    </row>
    <row r="37" spans="1:57" ht="12.9" hidden="1" customHeight="1">
      <c r="A37" s="1298"/>
      <c r="B37" s="1298"/>
      <c r="C37" s="1298"/>
      <c r="D37" s="1298"/>
      <c r="E37" s="1298"/>
      <c r="F37" s="1298"/>
      <c r="G37" s="1298"/>
      <c r="H37" s="1298"/>
      <c r="I37" s="1298"/>
      <c r="J37" s="1298"/>
      <c r="K37" s="1298"/>
      <c r="L37" s="1298"/>
      <c r="M37" s="1298"/>
      <c r="N37" s="1298"/>
      <c r="O37" s="1298"/>
      <c r="P37" s="1298"/>
      <c r="Q37" s="1298"/>
      <c r="R37" s="1298"/>
      <c r="S37" s="1298"/>
      <c r="T37" s="1298"/>
      <c r="U37" s="1298"/>
      <c r="V37" s="1298"/>
      <c r="W37" s="1298"/>
      <c r="X37" s="1298"/>
      <c r="Y37" s="1298"/>
      <c r="Z37" s="1298"/>
      <c r="AA37" s="1298"/>
      <c r="AB37" s="1298"/>
      <c r="AC37" s="1298"/>
      <c r="AD37" s="1298"/>
      <c r="AE37" s="1298"/>
      <c r="AF37" s="1298"/>
      <c r="AG37" s="1298"/>
      <c r="AH37" s="1298"/>
      <c r="AI37" s="1298"/>
      <c r="AJ37" s="1298"/>
      <c r="AK37" s="1298"/>
      <c r="AL37" s="1298"/>
      <c r="AM37" s="1298"/>
      <c r="AN37" s="1298"/>
      <c r="AO37" s="1298"/>
      <c r="AP37" s="1298"/>
      <c r="AQ37" s="1298"/>
      <c r="AR37" s="1298"/>
      <c r="AS37" s="1298"/>
      <c r="AT37" s="1298"/>
      <c r="AZ37" s="20"/>
      <c r="BD37" s="1178" t="s">
        <v>818</v>
      </c>
      <c r="BE37" s="1180" t="str">
        <f>Application!T189</f>
        <v>Los Angeles</v>
      </c>
    </row>
    <row r="38" spans="1:57" ht="12.9" hidden="1" customHeight="1">
      <c r="A38" s="3"/>
      <c r="AZ38" s="20"/>
      <c r="BD38" s="1179" t="s">
        <v>819</v>
      </c>
      <c r="BE38" s="1180" t="str">
        <f>Application!I190</f>
        <v>90003 / 90037</v>
      </c>
    </row>
    <row r="39" spans="1:57" ht="12.9" customHeight="1">
      <c r="A39" s="1299" t="s">
        <v>820</v>
      </c>
      <c r="B39" s="1298"/>
      <c r="C39" s="1298"/>
      <c r="D39" s="1298"/>
      <c r="E39" s="1298"/>
      <c r="F39" s="1298"/>
      <c r="G39" s="1298"/>
      <c r="H39" s="1298"/>
      <c r="I39" s="1298"/>
      <c r="J39" s="1298"/>
      <c r="K39" s="1298"/>
      <c r="L39" s="1298"/>
      <c r="M39" s="1298"/>
      <c r="N39" s="1298"/>
      <c r="O39" s="1298"/>
      <c r="P39" s="1298"/>
      <c r="Q39" s="1298"/>
      <c r="R39" s="1298"/>
      <c r="S39" s="1298"/>
      <c r="T39" s="1298"/>
      <c r="U39" s="1298"/>
      <c r="V39" s="1298"/>
      <c r="W39" s="1298"/>
      <c r="X39" s="1298"/>
      <c r="Y39" s="1298"/>
      <c r="Z39" s="1298"/>
      <c r="AA39" s="1298"/>
      <c r="AB39" s="1298"/>
      <c r="AC39" s="1298"/>
      <c r="AD39" s="1298"/>
      <c r="AE39" s="1298"/>
      <c r="AF39" s="1298"/>
      <c r="AG39" s="1298"/>
      <c r="AH39" s="1298"/>
      <c r="AI39" s="1298"/>
      <c r="AJ39" s="1298"/>
      <c r="AK39" s="1298"/>
      <c r="AL39" s="1298"/>
      <c r="AM39" s="1298"/>
      <c r="AN39" s="1298"/>
      <c r="AO39" s="1298"/>
      <c r="AP39" s="1298"/>
      <c r="AQ39" s="1298"/>
      <c r="AR39" s="1298"/>
      <c r="AS39" s="1298"/>
      <c r="AT39" s="1298"/>
      <c r="AZ39" s="20"/>
      <c r="BD39" s="1178" t="s">
        <v>821</v>
      </c>
      <c r="BE39" s="1180">
        <f>Application!AG446</f>
        <v>66</v>
      </c>
    </row>
    <row r="40" spans="1:57" ht="12.9" customHeight="1">
      <c r="A40" s="1298"/>
      <c r="B40" s="1298"/>
      <c r="C40" s="1298"/>
      <c r="D40" s="1298"/>
      <c r="E40" s="1298"/>
      <c r="F40" s="1298"/>
      <c r="G40" s="1298"/>
      <c r="H40" s="1298"/>
      <c r="I40" s="1298"/>
      <c r="J40" s="1298"/>
      <c r="K40" s="1298"/>
      <c r="L40" s="1298"/>
      <c r="M40" s="1298"/>
      <c r="N40" s="1298"/>
      <c r="O40" s="1298"/>
      <c r="P40" s="1298"/>
      <c r="Q40" s="1298"/>
      <c r="R40" s="1298"/>
      <c r="S40" s="1298"/>
      <c r="T40" s="1298"/>
      <c r="U40" s="1298"/>
      <c r="V40" s="1298"/>
      <c r="W40" s="1298"/>
      <c r="X40" s="1298"/>
      <c r="Y40" s="1298"/>
      <c r="Z40" s="1298"/>
      <c r="AA40" s="1298"/>
      <c r="AB40" s="1298"/>
      <c r="AC40" s="1298"/>
      <c r="AD40" s="1298"/>
      <c r="AE40" s="1298"/>
      <c r="AF40" s="1298"/>
      <c r="AG40" s="1298"/>
      <c r="AH40" s="1298"/>
      <c r="AI40" s="1298"/>
      <c r="AJ40" s="1298"/>
      <c r="AK40" s="1298"/>
      <c r="AL40" s="1298"/>
      <c r="AM40" s="1298"/>
      <c r="AN40" s="1298"/>
      <c r="AO40" s="1298"/>
      <c r="AP40" s="1298"/>
      <c r="AQ40" s="1298"/>
      <c r="AR40" s="1298"/>
      <c r="AS40" s="1298"/>
      <c r="AT40" s="1298"/>
      <c r="AU40" s="20"/>
      <c r="AV40" s="20"/>
      <c r="AW40" s="20"/>
      <c r="AX40" s="20"/>
      <c r="AY40" s="20"/>
      <c r="AZ40" s="20"/>
      <c r="BD40" s="1179" t="s">
        <v>313</v>
      </c>
      <c r="BE40" s="1180">
        <f>Application!AG449</f>
        <v>64</v>
      </c>
    </row>
    <row r="41" spans="1:57" ht="12.9" customHeight="1">
      <c r="A41" s="1298"/>
      <c r="B41" s="1298"/>
      <c r="C41" s="1298"/>
      <c r="D41" s="1298"/>
      <c r="E41" s="1298"/>
      <c r="F41" s="1298"/>
      <c r="G41" s="1298"/>
      <c r="H41" s="1298"/>
      <c r="I41" s="1298"/>
      <c r="J41" s="1298"/>
      <c r="K41" s="1298"/>
      <c r="L41" s="1298"/>
      <c r="M41" s="1298"/>
      <c r="N41" s="1298"/>
      <c r="O41" s="1298"/>
      <c r="P41" s="1298"/>
      <c r="Q41" s="1298"/>
      <c r="R41" s="1298"/>
      <c r="S41" s="1298"/>
      <c r="T41" s="1298"/>
      <c r="U41" s="1298"/>
      <c r="V41" s="1298"/>
      <c r="W41" s="1298"/>
      <c r="X41" s="1298"/>
      <c r="Y41" s="1298"/>
      <c r="Z41" s="1298"/>
      <c r="AA41" s="1298"/>
      <c r="AB41" s="1298"/>
      <c r="AC41" s="1298"/>
      <c r="AD41" s="1298"/>
      <c r="AE41" s="1298"/>
      <c r="AF41" s="1298"/>
      <c r="AG41" s="1298"/>
      <c r="AH41" s="1298"/>
      <c r="AI41" s="1298"/>
      <c r="AJ41" s="1298"/>
      <c r="AK41" s="1298"/>
      <c r="AL41" s="1298"/>
      <c r="AM41" s="1298"/>
      <c r="AN41" s="1298"/>
      <c r="AO41" s="1298"/>
      <c r="AP41" s="1298"/>
      <c r="AQ41" s="1298"/>
      <c r="AR41" s="1298"/>
      <c r="AS41" s="1298"/>
      <c r="AT41" s="1298"/>
      <c r="AU41" s="20"/>
      <c r="AV41" s="20"/>
      <c r="AW41" s="20"/>
      <c r="AX41" s="20"/>
      <c r="AY41" s="20"/>
      <c r="AZ41" s="20"/>
      <c r="BD41" s="1178" t="s">
        <v>321</v>
      </c>
      <c r="BE41" s="1180">
        <f>Application!AG447</f>
        <v>0</v>
      </c>
    </row>
    <row r="42" spans="1:57" ht="12.9" customHeight="1">
      <c r="A42" s="1298"/>
      <c r="B42" s="1298"/>
      <c r="C42" s="1298"/>
      <c r="D42" s="1298"/>
      <c r="E42" s="1298"/>
      <c r="F42" s="1298"/>
      <c r="G42" s="1298"/>
      <c r="H42" s="1298"/>
      <c r="I42" s="1298"/>
      <c r="J42" s="1298"/>
      <c r="K42" s="1298"/>
      <c r="L42" s="1298"/>
      <c r="M42" s="1298"/>
      <c r="N42" s="1298"/>
      <c r="O42" s="1298"/>
      <c r="P42" s="1298"/>
      <c r="Q42" s="1298"/>
      <c r="R42" s="1298"/>
      <c r="S42" s="1298"/>
      <c r="T42" s="1298"/>
      <c r="U42" s="1298"/>
      <c r="V42" s="1298"/>
      <c r="W42" s="1298"/>
      <c r="X42" s="1298"/>
      <c r="Y42" s="1298"/>
      <c r="Z42" s="1298"/>
      <c r="AA42" s="1298"/>
      <c r="AB42" s="1298"/>
      <c r="AC42" s="1298"/>
      <c r="AD42" s="1298"/>
      <c r="AE42" s="1298"/>
      <c r="AF42" s="1298"/>
      <c r="AG42" s="1298"/>
      <c r="AH42" s="1298"/>
      <c r="AI42" s="1298"/>
      <c r="AJ42" s="1298"/>
      <c r="AK42" s="1298"/>
      <c r="AL42" s="1298"/>
      <c r="AM42" s="1298"/>
      <c r="AN42" s="1298"/>
      <c r="AO42" s="1298"/>
      <c r="AP42" s="1298"/>
      <c r="AQ42" s="1298"/>
      <c r="AR42" s="1298"/>
      <c r="AS42" s="1298"/>
      <c r="AT42" s="1298"/>
      <c r="AZ42" s="20"/>
      <c r="BD42" s="1179" t="s">
        <v>822</v>
      </c>
      <c r="BE42" s="1181">
        <f>Application!AC761</f>
        <v>0.47187500000000004</v>
      </c>
    </row>
    <row r="43" spans="1:57" ht="12.9" customHeight="1">
      <c r="A43" s="1298"/>
      <c r="B43" s="1298"/>
      <c r="C43" s="1298"/>
      <c r="D43" s="1298"/>
      <c r="E43" s="1298"/>
      <c r="F43" s="1298"/>
      <c r="G43" s="1298"/>
      <c r="H43" s="1298"/>
      <c r="I43" s="1298"/>
      <c r="J43" s="1298"/>
      <c r="K43" s="1298"/>
      <c r="L43" s="1298"/>
      <c r="M43" s="1298"/>
      <c r="N43" s="1298"/>
      <c r="O43" s="1298"/>
      <c r="P43" s="1298"/>
      <c r="Q43" s="1298"/>
      <c r="R43" s="1298"/>
      <c r="S43" s="1298"/>
      <c r="T43" s="1298"/>
      <c r="U43" s="1298"/>
      <c r="V43" s="1298"/>
      <c r="W43" s="1298"/>
      <c r="X43" s="1298"/>
      <c r="Y43" s="1298"/>
      <c r="Z43" s="1298"/>
      <c r="AA43" s="1298"/>
      <c r="AB43" s="1298"/>
      <c r="AC43" s="1298"/>
      <c r="AD43" s="1298"/>
      <c r="AE43" s="1298"/>
      <c r="AF43" s="1298"/>
      <c r="AG43" s="1298"/>
      <c r="AH43" s="1298"/>
      <c r="AI43" s="1298"/>
      <c r="AJ43" s="1298"/>
      <c r="AK43" s="1298"/>
      <c r="AL43" s="1298"/>
      <c r="AM43" s="1298"/>
      <c r="AN43" s="1298"/>
      <c r="AO43" s="1298"/>
      <c r="AP43" s="1298"/>
      <c r="AQ43" s="1298"/>
      <c r="AR43" s="1298"/>
      <c r="AS43" s="1298"/>
      <c r="AT43" s="1298"/>
      <c r="AU43" s="20"/>
      <c r="AV43" s="20"/>
      <c r="AW43" s="20"/>
      <c r="AX43" s="20"/>
      <c r="AY43" s="20"/>
      <c r="AZ43" s="20"/>
      <c r="BD43" s="1178" t="s">
        <v>823</v>
      </c>
      <c r="BE43" s="1181">
        <f>Application!AH761</f>
        <v>0.47180005409505499</v>
      </c>
    </row>
    <row r="44" spans="1:57" ht="12.9" customHeight="1">
      <c r="A44" s="1298"/>
      <c r="B44" s="1298"/>
      <c r="C44" s="1298"/>
      <c r="D44" s="1298"/>
      <c r="E44" s="1298"/>
      <c r="F44" s="1298"/>
      <c r="G44" s="1298"/>
      <c r="H44" s="1298"/>
      <c r="I44" s="1298"/>
      <c r="J44" s="1298"/>
      <c r="K44" s="1298"/>
      <c r="L44" s="1298"/>
      <c r="M44" s="1298"/>
      <c r="N44" s="1298"/>
      <c r="O44" s="1298"/>
      <c r="P44" s="1298"/>
      <c r="Q44" s="1298"/>
      <c r="R44" s="1298"/>
      <c r="S44" s="1298"/>
      <c r="T44" s="1298"/>
      <c r="U44" s="1298"/>
      <c r="V44" s="1298"/>
      <c r="W44" s="1298"/>
      <c r="X44" s="1298"/>
      <c r="Y44" s="1298"/>
      <c r="Z44" s="1298"/>
      <c r="AA44" s="1298"/>
      <c r="AB44" s="1298"/>
      <c r="AC44" s="1298"/>
      <c r="AD44" s="1298"/>
      <c r="AE44" s="1298"/>
      <c r="AF44" s="1298"/>
      <c r="AG44" s="1298"/>
      <c r="AH44" s="1298"/>
      <c r="AI44" s="1298"/>
      <c r="AJ44" s="1298"/>
      <c r="AK44" s="1298"/>
      <c r="AL44" s="1298"/>
      <c r="AM44" s="1298"/>
      <c r="AN44" s="1298"/>
      <c r="AO44" s="1298"/>
      <c r="AP44" s="1298"/>
      <c r="AQ44" s="1298"/>
      <c r="AR44" s="1298"/>
      <c r="AS44" s="1298"/>
      <c r="AT44" s="1298"/>
      <c r="AU44" s="20"/>
      <c r="AV44" s="20"/>
      <c r="AW44" s="20"/>
      <c r="AX44" s="20"/>
      <c r="AY44" s="20"/>
      <c r="AZ44" s="20"/>
      <c r="BD44" s="1179" t="s">
        <v>824</v>
      </c>
      <c r="BE44" s="1180">
        <f>Application!AC463</f>
        <v>469320.93939393939</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78" t="s">
        <v>825</v>
      </c>
      <c r="BE45" s="1180">
        <f>Application!AE433</f>
        <v>2</v>
      </c>
    </row>
    <row r="46" spans="1:57" ht="12.9" customHeight="1">
      <c r="A46" s="1352" t="s">
        <v>826</v>
      </c>
      <c r="B46" s="1298"/>
      <c r="C46" s="1298"/>
      <c r="D46" s="1298"/>
      <c r="E46" s="1298"/>
      <c r="F46" s="1298"/>
      <c r="G46" s="1298"/>
      <c r="H46" s="1298"/>
      <c r="I46" s="1298"/>
      <c r="J46" s="1298"/>
      <c r="K46" s="1298"/>
      <c r="L46" s="1298"/>
      <c r="M46" s="1298"/>
      <c r="N46" s="1298"/>
      <c r="O46" s="1298"/>
      <c r="P46" s="1298"/>
      <c r="Q46" s="1298"/>
      <c r="R46" s="1298"/>
      <c r="S46" s="1298"/>
      <c r="T46" s="1298"/>
      <c r="U46" s="1298"/>
      <c r="V46" s="1298"/>
      <c r="W46" s="1298"/>
      <c r="X46" s="1298"/>
      <c r="Y46" s="1298"/>
      <c r="Z46" s="1298"/>
      <c r="AA46" s="1298"/>
      <c r="AB46" s="1298"/>
      <c r="AC46" s="1298"/>
      <c r="AD46" s="1298"/>
      <c r="AE46" s="1298"/>
      <c r="AF46" s="1298"/>
      <c r="AG46" s="1298"/>
      <c r="AH46" s="1298"/>
      <c r="AI46" s="1298"/>
      <c r="AJ46" s="1298"/>
      <c r="AK46" s="1298"/>
      <c r="AL46" s="1298"/>
      <c r="AM46" s="1298"/>
      <c r="AN46" s="1298"/>
      <c r="AO46" s="1298"/>
      <c r="AP46" s="1298"/>
      <c r="AQ46" s="1298"/>
      <c r="AR46" s="1298"/>
      <c r="AS46" s="1298"/>
      <c r="AT46" s="1298"/>
      <c r="AU46" s="20"/>
      <c r="AV46" s="20"/>
      <c r="AW46" s="20"/>
      <c r="AX46" s="20"/>
      <c r="AY46" s="20"/>
      <c r="AZ46" s="20"/>
      <c r="BD46" s="1179" t="s">
        <v>827</v>
      </c>
      <c r="BE46" s="1180" t="b">
        <f>Application!T195="Yes"</f>
        <v>0</v>
      </c>
    </row>
    <row r="47" spans="1:57" ht="12.9" customHeight="1">
      <c r="A47" s="1298"/>
      <c r="B47" s="1298"/>
      <c r="C47" s="1298"/>
      <c r="D47" s="1298"/>
      <c r="E47" s="1298"/>
      <c r="F47" s="1298"/>
      <c r="G47" s="1298"/>
      <c r="H47" s="1298"/>
      <c r="I47" s="1298"/>
      <c r="J47" s="1298"/>
      <c r="K47" s="1298"/>
      <c r="L47" s="1298"/>
      <c r="M47" s="1298"/>
      <c r="N47" s="1298"/>
      <c r="O47" s="1298"/>
      <c r="P47" s="1298"/>
      <c r="Q47" s="1298"/>
      <c r="R47" s="1298"/>
      <c r="S47" s="1298"/>
      <c r="T47" s="1298"/>
      <c r="U47" s="1298"/>
      <c r="V47" s="1298"/>
      <c r="W47" s="1298"/>
      <c r="X47" s="1298"/>
      <c r="Y47" s="1298"/>
      <c r="Z47" s="1298"/>
      <c r="AA47" s="1298"/>
      <c r="AB47" s="1298"/>
      <c r="AC47" s="1298"/>
      <c r="AD47" s="1298"/>
      <c r="AE47" s="1298"/>
      <c r="AF47" s="1298"/>
      <c r="AG47" s="1298"/>
      <c r="AH47" s="1298"/>
      <c r="AI47" s="1298"/>
      <c r="AJ47" s="1298"/>
      <c r="AK47" s="1298"/>
      <c r="AL47" s="1298"/>
      <c r="AM47" s="1298"/>
      <c r="AN47" s="1298"/>
      <c r="AO47" s="1298"/>
      <c r="AP47" s="1298"/>
      <c r="AQ47" s="1298"/>
      <c r="AR47" s="1298"/>
      <c r="AS47" s="1298"/>
      <c r="AT47" s="1298"/>
      <c r="AU47" s="20"/>
      <c r="AV47" s="20"/>
      <c r="AW47" s="20"/>
      <c r="AX47" s="20"/>
      <c r="AY47" s="20"/>
      <c r="AZ47" s="20"/>
      <c r="BD47" s="1178" t="s">
        <v>828</v>
      </c>
      <c r="BE47" s="1180" t="b">
        <f>Application!T196="Yes"</f>
        <v>1</v>
      </c>
    </row>
    <row r="48" spans="1:57" ht="12.9" customHeight="1">
      <c r="A48" s="1298"/>
      <c r="B48" s="1298"/>
      <c r="C48" s="1298"/>
      <c r="D48" s="1298"/>
      <c r="E48" s="1298"/>
      <c r="F48" s="1298"/>
      <c r="G48" s="1298"/>
      <c r="H48" s="1298"/>
      <c r="I48" s="1298"/>
      <c r="J48" s="1298"/>
      <c r="K48" s="1298"/>
      <c r="L48" s="1298"/>
      <c r="M48" s="1298"/>
      <c r="N48" s="1298"/>
      <c r="O48" s="1298"/>
      <c r="P48" s="1298"/>
      <c r="Q48" s="1298"/>
      <c r="R48" s="1298"/>
      <c r="S48" s="1298"/>
      <c r="T48" s="1298"/>
      <c r="U48" s="1298"/>
      <c r="V48" s="1298"/>
      <c r="W48" s="1298"/>
      <c r="X48" s="1298"/>
      <c r="Y48" s="1298"/>
      <c r="Z48" s="1298"/>
      <c r="AA48" s="1298"/>
      <c r="AB48" s="1298"/>
      <c r="AC48" s="1298"/>
      <c r="AD48" s="1298"/>
      <c r="AE48" s="1298"/>
      <c r="AF48" s="1298"/>
      <c r="AG48" s="1298"/>
      <c r="AH48" s="1298"/>
      <c r="AI48" s="1298"/>
      <c r="AJ48" s="1298"/>
      <c r="AK48" s="1298"/>
      <c r="AL48" s="1298"/>
      <c r="AM48" s="1298"/>
      <c r="AN48" s="1298"/>
      <c r="AO48" s="1298"/>
      <c r="AP48" s="1298"/>
      <c r="AQ48" s="1298"/>
      <c r="AR48" s="1298"/>
      <c r="AS48" s="1298"/>
      <c r="AT48" s="1298"/>
      <c r="AU48" s="20"/>
      <c r="AV48" s="20"/>
      <c r="AW48" s="20"/>
      <c r="AX48" s="20"/>
      <c r="AY48" s="20"/>
      <c r="AZ48" s="20"/>
      <c r="BD48" s="1179" t="s">
        <v>829</v>
      </c>
      <c r="BE48" s="1180" t="str">
        <f>Application!M252</f>
        <v>Community Revitalization &amp; Development Corporation</v>
      </c>
    </row>
    <row r="49" spans="1:57" ht="12.9" customHeight="1">
      <c r="A49" s="1298"/>
      <c r="B49" s="1298"/>
      <c r="C49" s="1298"/>
      <c r="D49" s="1298"/>
      <c r="E49" s="1298"/>
      <c r="F49" s="1298"/>
      <c r="G49" s="1298"/>
      <c r="H49" s="1298"/>
      <c r="I49" s="1298"/>
      <c r="J49" s="1298"/>
      <c r="K49" s="1298"/>
      <c r="L49" s="1298"/>
      <c r="M49" s="1298"/>
      <c r="N49" s="1298"/>
      <c r="O49" s="1298"/>
      <c r="P49" s="1298"/>
      <c r="Q49" s="1298"/>
      <c r="R49" s="1298"/>
      <c r="S49" s="1298"/>
      <c r="T49" s="1298"/>
      <c r="U49" s="1298"/>
      <c r="V49" s="1298"/>
      <c r="W49" s="1298"/>
      <c r="X49" s="1298"/>
      <c r="Y49" s="1298"/>
      <c r="Z49" s="1298"/>
      <c r="AA49" s="1298"/>
      <c r="AB49" s="1298"/>
      <c r="AC49" s="1298"/>
      <c r="AD49" s="1298"/>
      <c r="AE49" s="1298"/>
      <c r="AF49" s="1298"/>
      <c r="AG49" s="1298"/>
      <c r="AH49" s="1298"/>
      <c r="AI49" s="1298"/>
      <c r="AJ49" s="1298"/>
      <c r="AK49" s="1298"/>
      <c r="AL49" s="1298"/>
      <c r="AM49" s="1298"/>
      <c r="AN49" s="1298"/>
      <c r="AO49" s="1298"/>
      <c r="AP49" s="1298"/>
      <c r="AQ49" s="1298"/>
      <c r="AR49" s="1298"/>
      <c r="AS49" s="1298"/>
      <c r="AT49" s="1298"/>
      <c r="AU49" s="20"/>
      <c r="AV49" s="20"/>
      <c r="AW49" s="20"/>
      <c r="AX49" s="20"/>
      <c r="AY49" s="20"/>
      <c r="AZ49" s="20"/>
      <c r="BD49" s="1178" t="s">
        <v>830</v>
      </c>
      <c r="BE49" s="1180" t="str">
        <f>Application!M255</f>
        <v>David Rutledge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79" t="s">
        <v>831</v>
      </c>
      <c r="BE50" s="1180">
        <f>Application!AA258</f>
        <v>0</v>
      </c>
    </row>
    <row r="51" spans="1:57" ht="12.9" customHeight="1">
      <c r="A51" s="1299" t="s">
        <v>832</v>
      </c>
      <c r="B51" s="1298"/>
      <c r="C51" s="1298"/>
      <c r="D51" s="1298"/>
      <c r="E51" s="1298"/>
      <c r="F51" s="1298"/>
      <c r="G51" s="1298"/>
      <c r="H51" s="1298"/>
      <c r="I51" s="1298"/>
      <c r="J51" s="1298"/>
      <c r="K51" s="1298"/>
      <c r="L51" s="1298"/>
      <c r="M51" s="1298"/>
      <c r="N51" s="1298"/>
      <c r="O51" s="1298"/>
      <c r="P51" s="1298"/>
      <c r="Q51" s="1298"/>
      <c r="R51" s="1298"/>
      <c r="S51" s="1298"/>
      <c r="T51" s="1298"/>
      <c r="U51" s="1298"/>
      <c r="V51" s="1298"/>
      <c r="W51" s="1298"/>
      <c r="X51" s="1298"/>
      <c r="Y51" s="1298"/>
      <c r="Z51" s="1298"/>
      <c r="AA51" s="1298"/>
      <c r="AB51" s="1298"/>
      <c r="AC51" s="1298"/>
      <c r="AD51" s="1298"/>
      <c r="AE51" s="1298"/>
      <c r="AF51" s="1298"/>
      <c r="AG51" s="1298"/>
      <c r="AH51" s="1298"/>
      <c r="AI51" s="1298"/>
      <c r="AJ51" s="1298"/>
      <c r="AK51" s="1298"/>
      <c r="AL51" s="1298"/>
      <c r="AM51" s="1298"/>
      <c r="AN51" s="1298"/>
      <c r="AO51" s="1298"/>
      <c r="AP51" s="1298"/>
      <c r="AQ51" s="1298"/>
      <c r="AR51" s="1298"/>
      <c r="AS51" s="1298"/>
      <c r="AT51" s="1298"/>
      <c r="AU51" s="20"/>
      <c r="AV51" s="20"/>
      <c r="AW51" s="20"/>
      <c r="AX51" s="20"/>
      <c r="AY51" s="20"/>
      <c r="AZ51" s="20"/>
      <c r="BD51" s="1178" t="s">
        <v>833</v>
      </c>
      <c r="BE51" s="1180" t="str">
        <f>Application!M260</f>
        <v>Broadway Villages GP, LLC</v>
      </c>
    </row>
    <row r="52" spans="1:57" ht="12.9" customHeight="1">
      <c r="A52" s="1298"/>
      <c r="B52" s="1298"/>
      <c r="C52" s="1298"/>
      <c r="D52" s="1298"/>
      <c r="E52" s="1298"/>
      <c r="F52" s="1298"/>
      <c r="G52" s="1298"/>
      <c r="H52" s="1298"/>
      <c r="I52" s="1298"/>
      <c r="J52" s="1298"/>
      <c r="K52" s="1298"/>
      <c r="L52" s="1298"/>
      <c r="M52" s="1298"/>
      <c r="N52" s="1298"/>
      <c r="O52" s="1298"/>
      <c r="P52" s="1298"/>
      <c r="Q52" s="1298"/>
      <c r="R52" s="1298"/>
      <c r="S52" s="1298"/>
      <c r="T52" s="1298"/>
      <c r="U52" s="1298"/>
      <c r="V52" s="1298"/>
      <c r="W52" s="1298"/>
      <c r="X52" s="1298"/>
      <c r="Y52" s="1298"/>
      <c r="Z52" s="1298"/>
      <c r="AA52" s="1298"/>
      <c r="AB52" s="1298"/>
      <c r="AC52" s="1298"/>
      <c r="AD52" s="1298"/>
      <c r="AE52" s="1298"/>
      <c r="AF52" s="1298"/>
      <c r="AG52" s="1298"/>
      <c r="AH52" s="1298"/>
      <c r="AI52" s="1298"/>
      <c r="AJ52" s="1298"/>
      <c r="AK52" s="1298"/>
      <c r="AL52" s="1298"/>
      <c r="AM52" s="1298"/>
      <c r="AN52" s="1298"/>
      <c r="AO52" s="1298"/>
      <c r="AP52" s="1298"/>
      <c r="AQ52" s="1298"/>
      <c r="AR52" s="1298"/>
      <c r="AS52" s="1298"/>
      <c r="AT52" s="1298"/>
      <c r="AU52" s="20"/>
      <c r="AV52" s="20"/>
      <c r="AW52" s="20"/>
      <c r="AX52" s="20"/>
      <c r="AY52" s="20"/>
      <c r="AZ52" s="20"/>
      <c r="BD52" s="1179" t="s">
        <v>834</v>
      </c>
      <c r="BE52" s="1180" t="str">
        <f>Application!M263</f>
        <v>Phillip Curls</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78" t="s">
        <v>835</v>
      </c>
      <c r="BE53" s="1180" t="str">
        <f>Application!AA266</f>
        <v>APG Holdings 2, LLC</v>
      </c>
    </row>
    <row r="54" spans="1:57" ht="12.9" customHeight="1">
      <c r="A54" s="1299" t="s">
        <v>836</v>
      </c>
      <c r="B54" s="1298"/>
      <c r="C54" s="1298"/>
      <c r="D54" s="1298"/>
      <c r="E54" s="1298"/>
      <c r="F54" s="1298"/>
      <c r="G54" s="1298"/>
      <c r="H54" s="1298"/>
      <c r="I54" s="1298"/>
      <c r="J54" s="1298"/>
      <c r="K54" s="1298"/>
      <c r="L54" s="1298"/>
      <c r="M54" s="1298"/>
      <c r="N54" s="1298"/>
      <c r="O54" s="1298"/>
      <c r="P54" s="1298"/>
      <c r="Q54" s="1298"/>
      <c r="R54" s="1298"/>
      <c r="S54" s="1298"/>
      <c r="T54" s="1298"/>
      <c r="U54" s="1298"/>
      <c r="V54" s="1298"/>
      <c r="W54" s="1298"/>
      <c r="X54" s="1298"/>
      <c r="Y54" s="1298"/>
      <c r="Z54" s="1298"/>
      <c r="AA54" s="1298"/>
      <c r="AB54" s="1298"/>
      <c r="AC54" s="1298"/>
      <c r="AD54" s="1298"/>
      <c r="AE54" s="1298"/>
      <c r="AF54" s="1298"/>
      <c r="AG54" s="1298"/>
      <c r="AH54" s="1298"/>
      <c r="AI54" s="1298"/>
      <c r="AJ54" s="1298"/>
      <c r="AK54" s="1298"/>
      <c r="AL54" s="1298"/>
      <c r="AM54" s="1298"/>
      <c r="AN54" s="1298"/>
      <c r="AO54" s="1298"/>
      <c r="AP54" s="1298"/>
      <c r="AQ54" s="1298"/>
      <c r="AR54" s="1298"/>
      <c r="AS54" s="1298"/>
      <c r="AT54" s="1298"/>
      <c r="AU54" s="20"/>
      <c r="AV54" s="20"/>
      <c r="AW54" s="20"/>
      <c r="AX54" s="20"/>
      <c r="AY54" s="20"/>
      <c r="AZ54" s="21"/>
      <c r="BD54" s="1179" t="s">
        <v>837</v>
      </c>
      <c r="BE54" s="1180">
        <f>Application!M268</f>
        <v>0</v>
      </c>
    </row>
    <row r="55" spans="1:57" ht="12.9" customHeight="1">
      <c r="A55" s="1298"/>
      <c r="B55" s="1298"/>
      <c r="C55" s="1298"/>
      <c r="D55" s="1298"/>
      <c r="E55" s="1298"/>
      <c r="F55" s="1298"/>
      <c r="G55" s="1298"/>
      <c r="H55" s="1298"/>
      <c r="I55" s="1298"/>
      <c r="J55" s="1298"/>
      <c r="K55" s="1298"/>
      <c r="L55" s="1298"/>
      <c r="M55" s="1298"/>
      <c r="N55" s="1298"/>
      <c r="O55" s="1298"/>
      <c r="P55" s="1298"/>
      <c r="Q55" s="1298"/>
      <c r="R55" s="1298"/>
      <c r="S55" s="1298"/>
      <c r="T55" s="1298"/>
      <c r="U55" s="1298"/>
      <c r="V55" s="1298"/>
      <c r="W55" s="1298"/>
      <c r="X55" s="1298"/>
      <c r="Y55" s="1298"/>
      <c r="Z55" s="1298"/>
      <c r="AA55" s="1298"/>
      <c r="AB55" s="1298"/>
      <c r="AC55" s="1298"/>
      <c r="AD55" s="1298"/>
      <c r="AE55" s="1298"/>
      <c r="AF55" s="1298"/>
      <c r="AG55" s="1298"/>
      <c r="AH55" s="1298"/>
      <c r="AI55" s="1298"/>
      <c r="AJ55" s="1298"/>
      <c r="AK55" s="1298"/>
      <c r="AL55" s="1298"/>
      <c r="AM55" s="1298"/>
      <c r="AN55" s="1298"/>
      <c r="AO55" s="1298"/>
      <c r="AP55" s="1298"/>
      <c r="AQ55" s="1298"/>
      <c r="AR55" s="1298"/>
      <c r="AS55" s="1298"/>
      <c r="AT55" s="1298"/>
      <c r="AZ55" s="21"/>
      <c r="BD55" s="1178" t="s">
        <v>838</v>
      </c>
      <c r="BE55" s="1180">
        <f>Application!M271</f>
        <v>0</v>
      </c>
    </row>
    <row r="56" spans="1:57" ht="12.9" customHeight="1">
      <c r="A56" s="1298"/>
      <c r="B56" s="1298"/>
      <c r="C56" s="1298"/>
      <c r="D56" s="1298"/>
      <c r="E56" s="1298"/>
      <c r="F56" s="1298"/>
      <c r="G56" s="1298"/>
      <c r="H56" s="1298"/>
      <c r="I56" s="1298"/>
      <c r="J56" s="1298"/>
      <c r="K56" s="1298"/>
      <c r="L56" s="1298"/>
      <c r="M56" s="1298"/>
      <c r="N56" s="1298"/>
      <c r="O56" s="1298"/>
      <c r="P56" s="1298"/>
      <c r="Q56" s="1298"/>
      <c r="R56" s="1298"/>
      <c r="S56" s="1298"/>
      <c r="T56" s="1298"/>
      <c r="U56" s="1298"/>
      <c r="V56" s="1298"/>
      <c r="W56" s="1298"/>
      <c r="X56" s="1298"/>
      <c r="Y56" s="1298"/>
      <c r="Z56" s="1298"/>
      <c r="AA56" s="1298"/>
      <c r="AB56" s="1298"/>
      <c r="AC56" s="1298"/>
      <c r="AD56" s="1298"/>
      <c r="AE56" s="1298"/>
      <c r="AF56" s="1298"/>
      <c r="AG56" s="1298"/>
      <c r="AH56" s="1298"/>
      <c r="AI56" s="1298"/>
      <c r="AJ56" s="1298"/>
      <c r="AK56" s="1298"/>
      <c r="AL56" s="1298"/>
      <c r="AM56" s="1298"/>
      <c r="AN56" s="1298"/>
      <c r="AO56" s="1298"/>
      <c r="AP56" s="1298"/>
      <c r="AQ56" s="1298"/>
      <c r="AR56" s="1298"/>
      <c r="AS56" s="1298"/>
      <c r="AT56" s="1298"/>
      <c r="BD56" s="1179" t="s">
        <v>839</v>
      </c>
      <c r="BE56" s="1180">
        <f>Application!AA274</f>
        <v>0</v>
      </c>
    </row>
    <row r="57" spans="1:57" ht="12.9" customHeight="1">
      <c r="A57" s="1298"/>
      <c r="B57" s="1298"/>
      <c r="C57" s="1298"/>
      <c r="D57" s="1298"/>
      <c r="E57" s="1298"/>
      <c r="F57" s="1298"/>
      <c r="G57" s="1298"/>
      <c r="H57" s="1298"/>
      <c r="I57" s="1298"/>
      <c r="J57" s="1298"/>
      <c r="K57" s="1298"/>
      <c r="L57" s="1298"/>
      <c r="M57" s="1298"/>
      <c r="N57" s="1298"/>
      <c r="O57" s="1298"/>
      <c r="P57" s="1298"/>
      <c r="Q57" s="1298"/>
      <c r="R57" s="1298"/>
      <c r="S57" s="1298"/>
      <c r="T57" s="1298"/>
      <c r="U57" s="1298"/>
      <c r="V57" s="1298"/>
      <c r="W57" s="1298"/>
      <c r="X57" s="1298"/>
      <c r="Y57" s="1298"/>
      <c r="Z57" s="1298"/>
      <c r="AA57" s="1298"/>
      <c r="AB57" s="1298"/>
      <c r="AC57" s="1298"/>
      <c r="AD57" s="1298"/>
      <c r="AE57" s="1298"/>
      <c r="AF57" s="1298"/>
      <c r="AG57" s="1298"/>
      <c r="AH57" s="1298"/>
      <c r="AI57" s="1298"/>
      <c r="AJ57" s="1298"/>
      <c r="AK57" s="1298"/>
      <c r="AL57" s="1298"/>
      <c r="AM57" s="1298"/>
      <c r="AN57" s="1298"/>
      <c r="AO57" s="1298"/>
      <c r="AP57" s="1298"/>
      <c r="AQ57" s="1298"/>
      <c r="AR57" s="1298"/>
      <c r="AS57" s="1298"/>
      <c r="AT57" s="1298"/>
      <c r="BD57" s="1178" t="s">
        <v>840</v>
      </c>
      <c r="BE57" s="1180" t="str">
        <f>Application!H296</f>
        <v>Alliance Property Group, Inc.</v>
      </c>
    </row>
    <row r="58" spans="1:57" ht="12.9" customHeight="1">
      <c r="A58" s="1298"/>
      <c r="B58" s="1298"/>
      <c r="C58" s="1298"/>
      <c r="D58" s="1298"/>
      <c r="E58" s="1298"/>
      <c r="F58" s="1298"/>
      <c r="G58" s="1298"/>
      <c r="H58" s="1298"/>
      <c r="I58" s="1298"/>
      <c r="J58" s="1298"/>
      <c r="K58" s="1298"/>
      <c r="L58" s="1298"/>
      <c r="M58" s="1298"/>
      <c r="N58" s="1298"/>
      <c r="O58" s="1298"/>
      <c r="P58" s="1298"/>
      <c r="Q58" s="1298"/>
      <c r="R58" s="1298"/>
      <c r="S58" s="1298"/>
      <c r="T58" s="1298"/>
      <c r="U58" s="1298"/>
      <c r="V58" s="1298"/>
      <c r="W58" s="1298"/>
      <c r="X58" s="1298"/>
      <c r="Y58" s="1298"/>
      <c r="Z58" s="1298"/>
      <c r="AA58" s="1298"/>
      <c r="AB58" s="1298"/>
      <c r="AC58" s="1298"/>
      <c r="AD58" s="1298"/>
      <c r="AE58" s="1298"/>
      <c r="AF58" s="1298"/>
      <c r="AG58" s="1298"/>
      <c r="AH58" s="1298"/>
      <c r="AI58" s="1298"/>
      <c r="AJ58" s="1298"/>
      <c r="AK58" s="1298"/>
      <c r="AL58" s="1298"/>
      <c r="AM58" s="1298"/>
      <c r="AN58" s="1298"/>
      <c r="AO58" s="1298"/>
      <c r="AP58" s="1298"/>
      <c r="AQ58" s="1298"/>
      <c r="AR58" s="1298"/>
      <c r="AS58" s="1298"/>
      <c r="AT58" s="1298"/>
      <c r="BD58" s="1179" t="s">
        <v>841</v>
      </c>
      <c r="BE58" s="1180" t="str">
        <f>Application!H297</f>
        <v>1730 E. Holly Avenue, Suite 327</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78" t="s">
        <v>842</v>
      </c>
      <c r="BE59" s="1180" t="str">
        <f>Application!H298</f>
        <v>El Segundo, CA 90245</v>
      </c>
    </row>
    <row r="60" spans="1:57" ht="12.9" customHeight="1">
      <c r="A60" s="1299" t="s">
        <v>843</v>
      </c>
      <c r="B60" s="1298"/>
      <c r="C60" s="1298"/>
      <c r="D60" s="1298"/>
      <c r="E60" s="1298"/>
      <c r="F60" s="1298"/>
      <c r="G60" s="1298"/>
      <c r="H60" s="1298"/>
      <c r="I60" s="1298"/>
      <c r="J60" s="1298"/>
      <c r="K60" s="1298"/>
      <c r="L60" s="1298"/>
      <c r="M60" s="1298"/>
      <c r="N60" s="1298"/>
      <c r="O60" s="1298"/>
      <c r="P60" s="1298"/>
      <c r="Q60" s="1298"/>
      <c r="R60" s="1298"/>
      <c r="S60" s="1298"/>
      <c r="T60" s="1298"/>
      <c r="U60" s="1298"/>
      <c r="V60" s="1298"/>
      <c r="W60" s="1298"/>
      <c r="X60" s="1298"/>
      <c r="Y60" s="1298"/>
      <c r="Z60" s="1298"/>
      <c r="AA60" s="1298"/>
      <c r="AB60" s="1298"/>
      <c r="AC60" s="1298"/>
      <c r="AD60" s="1298"/>
      <c r="AE60" s="1298"/>
      <c r="AF60" s="1298"/>
      <c r="AG60" s="1298"/>
      <c r="AH60" s="1298"/>
      <c r="AI60" s="1298"/>
      <c r="AJ60" s="1298"/>
      <c r="AK60" s="1298"/>
      <c r="AL60" s="1298"/>
      <c r="AM60" s="1298"/>
      <c r="AN60" s="1298"/>
      <c r="AO60" s="1298"/>
      <c r="AP60" s="1298"/>
      <c r="AQ60" s="1298"/>
      <c r="AR60" s="1298"/>
      <c r="AS60" s="1298"/>
      <c r="AT60" s="1298"/>
      <c r="AU60" s="20"/>
      <c r="AV60" s="20"/>
      <c r="AW60" s="20"/>
      <c r="AX60" s="20"/>
      <c r="AY60" s="20"/>
      <c r="AZ60" s="20"/>
      <c r="BD60" s="1179" t="s">
        <v>844</v>
      </c>
      <c r="BE60" s="1180" t="str">
        <f>Application!H299</f>
        <v>Phillip Curls</v>
      </c>
    </row>
    <row r="61" spans="1:57" ht="12.9" customHeight="1">
      <c r="A61" s="1298"/>
      <c r="B61" s="1298"/>
      <c r="C61" s="1298"/>
      <c r="D61" s="1298"/>
      <c r="E61" s="1298"/>
      <c r="F61" s="1298"/>
      <c r="G61" s="1298"/>
      <c r="H61" s="1298"/>
      <c r="I61" s="1298"/>
      <c r="J61" s="1298"/>
      <c r="K61" s="1298"/>
      <c r="L61" s="1298"/>
      <c r="M61" s="1298"/>
      <c r="N61" s="1298"/>
      <c r="O61" s="1298"/>
      <c r="P61" s="1298"/>
      <c r="Q61" s="1298"/>
      <c r="R61" s="1298"/>
      <c r="S61" s="1298"/>
      <c r="T61" s="1298"/>
      <c r="U61" s="1298"/>
      <c r="V61" s="1298"/>
      <c r="W61" s="1298"/>
      <c r="X61" s="1298"/>
      <c r="Y61" s="1298"/>
      <c r="Z61" s="1298"/>
      <c r="AA61" s="1298"/>
      <c r="AB61" s="1298"/>
      <c r="AC61" s="1298"/>
      <c r="AD61" s="1298"/>
      <c r="AE61" s="1298"/>
      <c r="AF61" s="1298"/>
      <c r="AG61" s="1298"/>
      <c r="AH61" s="1298"/>
      <c r="AI61" s="1298"/>
      <c r="AJ61" s="1298"/>
      <c r="AK61" s="1298"/>
      <c r="AL61" s="1298"/>
      <c r="AM61" s="1298"/>
      <c r="AN61" s="1298"/>
      <c r="AO61" s="1298"/>
      <c r="AP61" s="1298"/>
      <c r="AQ61" s="1298"/>
      <c r="AR61" s="1298"/>
      <c r="AS61" s="1298"/>
      <c r="AT61" s="1298"/>
      <c r="AU61" s="20"/>
      <c r="AV61" s="20"/>
      <c r="AW61" s="20"/>
      <c r="AX61" s="20"/>
      <c r="AY61" s="20"/>
      <c r="AZ61" s="20"/>
      <c r="BD61" s="1178" t="s">
        <v>845</v>
      </c>
      <c r="BE61" s="1180" t="str">
        <f>Application!H302</f>
        <v>pcurls@apg-dev.com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79" t="s">
        <v>846</v>
      </c>
      <c r="BE62" s="1182">
        <f>'Basis &amp; Credits'!AB50</f>
        <v>0.8</v>
      </c>
    </row>
    <row r="63" spans="1:57" ht="12.9" customHeight="1">
      <c r="A63" s="91" t="s">
        <v>847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78" t="s">
        <v>848</v>
      </c>
      <c r="BE63" s="118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79" t="s">
        <v>849</v>
      </c>
      <c r="BE64" s="1180" t="b">
        <f>Application!X180="Yes"</f>
        <v>1</v>
      </c>
    </row>
    <row r="65" spans="1:57" ht="12.9" customHeight="1">
      <c r="A65" s="1447" t="s">
        <v>850</v>
      </c>
      <c r="B65" s="1298"/>
      <c r="C65" s="1298"/>
      <c r="D65" s="1298"/>
      <c r="E65" s="1298"/>
      <c r="F65" s="1298"/>
      <c r="G65" s="1298"/>
      <c r="H65" s="1298"/>
      <c r="I65" s="1298"/>
      <c r="J65" s="1298"/>
      <c r="K65" s="1298"/>
      <c r="L65" s="1298"/>
      <c r="M65" s="1298"/>
      <c r="N65" s="1298"/>
      <c r="O65" s="1298"/>
      <c r="P65" s="1298"/>
      <c r="Q65" s="1298"/>
      <c r="R65" s="1298"/>
      <c r="S65" s="1298"/>
      <c r="T65" s="1298"/>
      <c r="U65" s="1298"/>
      <c r="V65" s="1298"/>
      <c r="W65" s="1298"/>
      <c r="X65" s="1298"/>
      <c r="Y65" s="1298"/>
      <c r="Z65" s="1298"/>
      <c r="AA65" s="1298"/>
      <c r="AB65" s="1298"/>
      <c r="AC65" s="1298"/>
      <c r="AD65" s="1298"/>
      <c r="AE65" s="1298"/>
      <c r="AF65" s="1298"/>
      <c r="AG65" s="1298"/>
      <c r="AH65" s="1298"/>
      <c r="AI65" s="1298"/>
      <c r="AJ65" s="1298"/>
      <c r="AK65" s="1298"/>
      <c r="AL65" s="1298"/>
      <c r="AM65" s="1298"/>
      <c r="AN65" s="1298"/>
      <c r="AO65" s="1298"/>
      <c r="AP65" s="1298"/>
      <c r="AQ65" s="1298"/>
      <c r="AR65" s="1298"/>
      <c r="AS65" s="1298"/>
      <c r="AT65" s="1298"/>
      <c r="AU65" s="21"/>
      <c r="AV65" s="21"/>
      <c r="AW65" s="21"/>
      <c r="AX65" s="21"/>
      <c r="AY65" s="21"/>
      <c r="AZ65" s="20"/>
      <c r="BD65" s="1178" t="s">
        <v>851</v>
      </c>
      <c r="BE65" s="1180" t="str">
        <f>Z205</f>
        <v>(select)</v>
      </c>
    </row>
    <row r="66" spans="1:57" ht="12.9" customHeight="1">
      <c r="A66" s="1298"/>
      <c r="B66" s="1298"/>
      <c r="C66" s="1298"/>
      <c r="D66" s="1298"/>
      <c r="E66" s="1298"/>
      <c r="F66" s="1298"/>
      <c r="G66" s="1298"/>
      <c r="H66" s="1298"/>
      <c r="I66" s="1298"/>
      <c r="J66" s="1298"/>
      <c r="K66" s="1298"/>
      <c r="L66" s="1298"/>
      <c r="M66" s="1298"/>
      <c r="N66" s="1298"/>
      <c r="O66" s="1298"/>
      <c r="P66" s="1298"/>
      <c r="Q66" s="1298"/>
      <c r="R66" s="1298"/>
      <c r="S66" s="1298"/>
      <c r="T66" s="1298"/>
      <c r="U66" s="1298"/>
      <c r="V66" s="1298"/>
      <c r="W66" s="1298"/>
      <c r="X66" s="1298"/>
      <c r="Y66" s="1298"/>
      <c r="Z66" s="1298"/>
      <c r="AA66" s="1298"/>
      <c r="AB66" s="1298"/>
      <c r="AC66" s="1298"/>
      <c r="AD66" s="1298"/>
      <c r="AE66" s="1298"/>
      <c r="AF66" s="1298"/>
      <c r="AG66" s="1298"/>
      <c r="AH66" s="1298"/>
      <c r="AI66" s="1298"/>
      <c r="AJ66" s="1298"/>
      <c r="AK66" s="1298"/>
      <c r="AL66" s="1298"/>
      <c r="AM66" s="1298"/>
      <c r="AN66" s="1298"/>
      <c r="AO66" s="1298"/>
      <c r="AP66" s="1298"/>
      <c r="AQ66" s="1298"/>
      <c r="AR66" s="1298"/>
      <c r="AS66" s="1298"/>
      <c r="AT66" s="1298"/>
      <c r="AU66" s="21"/>
      <c r="AV66" s="21"/>
      <c r="AW66" s="21"/>
      <c r="AX66" s="21"/>
      <c r="AY66" s="21"/>
      <c r="AZ66" s="20"/>
      <c r="BD66" s="1179" t="s">
        <v>852</v>
      </c>
      <c r="BE66" s="1180" t="b">
        <f>Application!Z205="State Farmworker Credit"</f>
        <v>0</v>
      </c>
    </row>
    <row r="67" spans="1:57" ht="12.9" customHeight="1">
      <c r="A67" s="1298"/>
      <c r="B67" s="1298"/>
      <c r="C67" s="1298"/>
      <c r="D67" s="1298"/>
      <c r="E67" s="1298"/>
      <c r="F67" s="1298"/>
      <c r="G67" s="1298"/>
      <c r="H67" s="1298"/>
      <c r="I67" s="1298"/>
      <c r="J67" s="1298"/>
      <c r="K67" s="1298"/>
      <c r="L67" s="1298"/>
      <c r="M67" s="1298"/>
      <c r="N67" s="1298"/>
      <c r="O67" s="1298"/>
      <c r="P67" s="1298"/>
      <c r="Q67" s="1298"/>
      <c r="R67" s="1298"/>
      <c r="S67" s="1298"/>
      <c r="T67" s="1298"/>
      <c r="U67" s="1298"/>
      <c r="V67" s="1298"/>
      <c r="W67" s="1298"/>
      <c r="X67" s="1298"/>
      <c r="Y67" s="1298"/>
      <c r="Z67" s="1298"/>
      <c r="AA67" s="1298"/>
      <c r="AB67" s="1298"/>
      <c r="AC67" s="1298"/>
      <c r="AD67" s="1298"/>
      <c r="AE67" s="1298"/>
      <c r="AF67" s="1298"/>
      <c r="AG67" s="1298"/>
      <c r="AH67" s="1298"/>
      <c r="AI67" s="1298"/>
      <c r="AJ67" s="1298"/>
      <c r="AK67" s="1298"/>
      <c r="AL67" s="1298"/>
      <c r="AM67" s="1298"/>
      <c r="AN67" s="1298"/>
      <c r="AO67" s="1298"/>
      <c r="AP67" s="1298"/>
      <c r="AQ67" s="1298"/>
      <c r="AR67" s="1298"/>
      <c r="AS67" s="1298"/>
      <c r="AT67" s="1298"/>
      <c r="AZ67" s="20"/>
      <c r="BD67" s="1178" t="s">
        <v>853</v>
      </c>
      <c r="BE67" s="1180"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79" t="s">
        <v>854</v>
      </c>
      <c r="BE68" s="1180">
        <f>'Sources and Uses Budget'!D105</f>
        <v>0</v>
      </c>
    </row>
    <row r="69" spans="1:57" ht="12.9" customHeight="1">
      <c r="A69" s="1447" t="s">
        <v>855</v>
      </c>
      <c r="B69" s="1298"/>
      <c r="C69" s="1298"/>
      <c r="D69" s="1298"/>
      <c r="E69" s="1298"/>
      <c r="F69" s="1298"/>
      <c r="G69" s="1298"/>
      <c r="H69" s="1298"/>
      <c r="I69" s="1298"/>
      <c r="J69" s="1298"/>
      <c r="K69" s="1298"/>
      <c r="L69" s="1298"/>
      <c r="M69" s="1298"/>
      <c r="N69" s="1298"/>
      <c r="O69" s="1298"/>
      <c r="P69" s="1298"/>
      <c r="Q69" s="1298"/>
      <c r="R69" s="1298"/>
      <c r="S69" s="1298"/>
      <c r="T69" s="1298"/>
      <c r="U69" s="1298"/>
      <c r="V69" s="1298"/>
      <c r="W69" s="1298"/>
      <c r="X69" s="1298"/>
      <c r="Y69" s="1298"/>
      <c r="Z69" s="1298"/>
      <c r="AA69" s="1298"/>
      <c r="AB69" s="1298"/>
      <c r="AC69" s="1298"/>
      <c r="AD69" s="1298"/>
      <c r="AE69" s="1298"/>
      <c r="AF69" s="1298"/>
      <c r="AG69" s="1298"/>
      <c r="AH69" s="1298"/>
      <c r="AI69" s="1298"/>
      <c r="AJ69" s="1298"/>
      <c r="AK69" s="1298"/>
      <c r="AL69" s="1298"/>
      <c r="AM69" s="1298"/>
      <c r="AN69" s="1298"/>
      <c r="AO69" s="1298"/>
      <c r="AP69" s="1298"/>
      <c r="AQ69" s="1298"/>
      <c r="AR69" s="1298"/>
      <c r="AS69" s="1298"/>
      <c r="AT69" s="1298"/>
      <c r="AZ69" s="20"/>
      <c r="BD69" s="1178" t="s">
        <v>856</v>
      </c>
      <c r="BE69" s="1180" t="str">
        <f>Application!W708</f>
        <v>City of Los Angeles</v>
      </c>
    </row>
    <row r="70" spans="1:57" ht="12.9" customHeight="1">
      <c r="A70" s="1298"/>
      <c r="B70" s="1298"/>
      <c r="C70" s="1298"/>
      <c r="D70" s="1298"/>
      <c r="E70" s="1298"/>
      <c r="F70" s="1298"/>
      <c r="G70" s="1298"/>
      <c r="H70" s="1298"/>
      <c r="I70" s="1298"/>
      <c r="J70" s="1298"/>
      <c r="K70" s="1298"/>
      <c r="L70" s="1298"/>
      <c r="M70" s="1298"/>
      <c r="N70" s="1298"/>
      <c r="O70" s="1298"/>
      <c r="P70" s="1298"/>
      <c r="Q70" s="1298"/>
      <c r="R70" s="1298"/>
      <c r="S70" s="1298"/>
      <c r="T70" s="1298"/>
      <c r="U70" s="1298"/>
      <c r="V70" s="1298"/>
      <c r="W70" s="1298"/>
      <c r="X70" s="1298"/>
      <c r="Y70" s="1298"/>
      <c r="Z70" s="1298"/>
      <c r="AA70" s="1298"/>
      <c r="AB70" s="1298"/>
      <c r="AC70" s="1298"/>
      <c r="AD70" s="1298"/>
      <c r="AE70" s="1298"/>
      <c r="AF70" s="1298"/>
      <c r="AG70" s="1298"/>
      <c r="AH70" s="1298"/>
      <c r="AI70" s="1298"/>
      <c r="AJ70" s="1298"/>
      <c r="AK70" s="1298"/>
      <c r="AL70" s="1298"/>
      <c r="AM70" s="1298"/>
      <c r="AN70" s="1298"/>
      <c r="AO70" s="1298"/>
      <c r="AP70" s="1298"/>
      <c r="AQ70" s="1298"/>
      <c r="AR70" s="1298"/>
      <c r="AS70" s="1298"/>
      <c r="AT70" s="1298"/>
      <c r="AU70" s="20"/>
      <c r="AV70" s="20"/>
      <c r="AW70" s="20"/>
      <c r="AX70" s="20"/>
      <c r="AY70" s="20"/>
      <c r="AZ70" s="20"/>
      <c r="BD70" s="1179" t="s">
        <v>857</v>
      </c>
      <c r="BE70" s="1180">
        <f ca="1">'Points System'!AF843</f>
        <v>100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78" t="s">
        <v>858</v>
      </c>
      <c r="BE71" s="1180">
        <f>'Points System'!AF826</f>
        <v>18</v>
      </c>
    </row>
    <row r="72" spans="1:57" ht="12.9" customHeight="1">
      <c r="A72" s="1546" t="s">
        <v>859</v>
      </c>
      <c r="B72" s="1298"/>
      <c r="C72" s="1298"/>
      <c r="D72" s="1298"/>
      <c r="E72" s="1298"/>
      <c r="F72" s="1298"/>
      <c r="G72" s="1298"/>
      <c r="H72" s="1298"/>
      <c r="I72" s="1298"/>
      <c r="J72" s="1298"/>
      <c r="K72" s="1298"/>
      <c r="L72" s="1298"/>
      <c r="M72" s="1298"/>
      <c r="N72" s="1298"/>
      <c r="O72" s="1298"/>
      <c r="P72" s="1298"/>
      <c r="Q72" s="1298"/>
      <c r="R72" s="1298"/>
      <c r="S72" s="1298"/>
      <c r="T72" s="1298"/>
      <c r="U72" s="1298"/>
      <c r="V72" s="1298"/>
      <c r="W72" s="1298"/>
      <c r="X72" s="1298"/>
      <c r="Y72" s="1298"/>
      <c r="Z72" s="1298"/>
      <c r="AA72" s="1298"/>
      <c r="AB72" s="1298"/>
      <c r="AC72" s="1298"/>
      <c r="AD72" s="1298"/>
      <c r="AE72" s="1298"/>
      <c r="AF72" s="1298"/>
      <c r="AG72" s="1298"/>
      <c r="AH72" s="1298"/>
      <c r="AI72" s="1298"/>
      <c r="AJ72" s="1298"/>
      <c r="AK72" s="1298"/>
      <c r="AL72" s="1298"/>
      <c r="AM72" s="1298"/>
      <c r="AN72" s="1298"/>
      <c r="AO72" s="1298"/>
      <c r="AP72" s="1298"/>
      <c r="AQ72" s="1298"/>
      <c r="AR72" s="1298"/>
      <c r="AS72" s="1298"/>
      <c r="AT72" s="1298"/>
      <c r="AU72" s="20"/>
      <c r="AV72" s="20"/>
      <c r="AW72" s="20"/>
      <c r="AX72" s="20"/>
      <c r="AY72" s="20"/>
      <c r="AZ72" s="20"/>
      <c r="BD72" s="1179" t="s">
        <v>860</v>
      </c>
      <c r="BE72" s="1180">
        <f>'Points System'!AF827</f>
        <v>0</v>
      </c>
    </row>
    <row r="73" spans="1:57" ht="12.9" customHeight="1">
      <c r="A73" s="1298"/>
      <c r="B73" s="1298"/>
      <c r="C73" s="1298"/>
      <c r="D73" s="1298"/>
      <c r="E73" s="1298"/>
      <c r="F73" s="1298"/>
      <c r="G73" s="1298"/>
      <c r="H73" s="1298"/>
      <c r="I73" s="1298"/>
      <c r="J73" s="1298"/>
      <c r="K73" s="1298"/>
      <c r="L73" s="1298"/>
      <c r="M73" s="1298"/>
      <c r="N73" s="1298"/>
      <c r="O73" s="1298"/>
      <c r="P73" s="1298"/>
      <c r="Q73" s="1298"/>
      <c r="R73" s="1298"/>
      <c r="S73" s="1298"/>
      <c r="T73" s="1298"/>
      <c r="U73" s="1298"/>
      <c r="V73" s="1298"/>
      <c r="W73" s="1298"/>
      <c r="X73" s="1298"/>
      <c r="Y73" s="1298"/>
      <c r="Z73" s="1298"/>
      <c r="AA73" s="1298"/>
      <c r="AB73" s="1298"/>
      <c r="AC73" s="1298"/>
      <c r="AD73" s="1298"/>
      <c r="AE73" s="1298"/>
      <c r="AF73" s="1298"/>
      <c r="AG73" s="1298"/>
      <c r="AH73" s="1298"/>
      <c r="AI73" s="1298"/>
      <c r="AJ73" s="1298"/>
      <c r="AK73" s="1298"/>
      <c r="AL73" s="1298"/>
      <c r="AM73" s="1298"/>
      <c r="AN73" s="1298"/>
      <c r="AO73" s="1298"/>
      <c r="AP73" s="1298"/>
      <c r="AQ73" s="1298"/>
      <c r="AR73" s="1298"/>
      <c r="AS73" s="1298"/>
      <c r="AT73" s="1298"/>
      <c r="AU73" s="20"/>
      <c r="AV73" s="20"/>
      <c r="AW73" s="20"/>
      <c r="AX73" s="20"/>
      <c r="AY73" s="20"/>
      <c r="AZ73" s="20"/>
      <c r="BD73" s="1178" t="s">
        <v>861</v>
      </c>
      <c r="BE73" s="1180">
        <f ca="1">'Points System'!AF828</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79" t="s">
        <v>862</v>
      </c>
      <c r="BE74" s="1180">
        <f>'Points System'!AF829</f>
        <v>10</v>
      </c>
    </row>
    <row r="75" spans="1:57" ht="12.9" customHeight="1">
      <c r="A75" s="1585" t="s">
        <v>863</v>
      </c>
      <c r="B75" s="1298"/>
      <c r="C75" s="1298"/>
      <c r="D75" s="1298"/>
      <c r="E75" s="1298"/>
      <c r="F75" s="1298"/>
      <c r="G75" s="1298"/>
      <c r="H75" s="1298"/>
      <c r="I75" s="1298"/>
      <c r="J75" s="1298"/>
      <c r="K75" s="1298"/>
      <c r="L75" s="1298"/>
      <c r="M75" s="1298"/>
      <c r="N75" s="1298"/>
      <c r="O75" s="1298"/>
      <c r="P75" s="1298"/>
      <c r="Q75" s="1298"/>
      <c r="R75" s="1298"/>
      <c r="S75" s="1298"/>
      <c r="T75" s="1298"/>
      <c r="U75" s="1298"/>
      <c r="V75" s="1298"/>
      <c r="W75" s="1298"/>
      <c r="X75" s="1298"/>
      <c r="Y75" s="1298"/>
      <c r="Z75" s="1298"/>
      <c r="AA75" s="1298"/>
      <c r="AB75" s="1298"/>
      <c r="AC75" s="1298"/>
      <c r="AD75" s="1298"/>
      <c r="AE75" s="1298"/>
      <c r="AF75" s="1298"/>
      <c r="AG75" s="1298"/>
      <c r="AH75" s="1298"/>
      <c r="AI75" s="1298"/>
      <c r="AJ75" s="1298"/>
      <c r="AK75" s="1298"/>
      <c r="AL75" s="1298"/>
      <c r="AM75" s="1298"/>
      <c r="AN75" s="1298"/>
      <c r="AO75" s="1298"/>
      <c r="AP75" s="1298"/>
      <c r="AQ75" s="1298"/>
      <c r="AR75" s="1298"/>
      <c r="AS75" s="1298"/>
      <c r="AT75" s="1298"/>
      <c r="AU75" s="20"/>
      <c r="AV75" s="20"/>
      <c r="AW75" s="20"/>
      <c r="AX75" s="20"/>
      <c r="AY75" s="20"/>
      <c r="AZ75" s="20"/>
      <c r="BD75" s="1178" t="s">
        <v>864</v>
      </c>
      <c r="BE75" s="1180">
        <f>'Points System'!AF830</f>
        <v>10</v>
      </c>
    </row>
    <row r="76" spans="1:57" ht="12.9" customHeight="1">
      <c r="A76" s="1298"/>
      <c r="B76" s="1298"/>
      <c r="C76" s="1298"/>
      <c r="D76" s="1298"/>
      <c r="E76" s="1298"/>
      <c r="F76" s="1298"/>
      <c r="G76" s="1298"/>
      <c r="H76" s="1298"/>
      <c r="I76" s="1298"/>
      <c r="J76" s="1298"/>
      <c r="K76" s="1298"/>
      <c r="L76" s="1298"/>
      <c r="M76" s="1298"/>
      <c r="N76" s="1298"/>
      <c r="O76" s="1298"/>
      <c r="P76" s="1298"/>
      <c r="Q76" s="1298"/>
      <c r="R76" s="1298"/>
      <c r="S76" s="1298"/>
      <c r="T76" s="1298"/>
      <c r="U76" s="1298"/>
      <c r="V76" s="1298"/>
      <c r="W76" s="1298"/>
      <c r="X76" s="1298"/>
      <c r="Y76" s="1298"/>
      <c r="Z76" s="1298"/>
      <c r="AA76" s="1298"/>
      <c r="AB76" s="1298"/>
      <c r="AC76" s="1298"/>
      <c r="AD76" s="1298"/>
      <c r="AE76" s="1298"/>
      <c r="AF76" s="1298"/>
      <c r="AG76" s="1298"/>
      <c r="AH76" s="1298"/>
      <c r="AI76" s="1298"/>
      <c r="AJ76" s="1298"/>
      <c r="AK76" s="1298"/>
      <c r="AL76" s="1298"/>
      <c r="AM76" s="1298"/>
      <c r="AN76" s="1298"/>
      <c r="AO76" s="1298"/>
      <c r="AP76" s="1298"/>
      <c r="AQ76" s="1298"/>
      <c r="AR76" s="1298"/>
      <c r="AS76" s="1298"/>
      <c r="AT76" s="1298"/>
      <c r="AU76" s="20"/>
      <c r="AV76" s="20"/>
      <c r="AW76" s="20"/>
      <c r="AX76" s="20"/>
      <c r="AY76" s="20"/>
      <c r="AZ76" s="17"/>
      <c r="BD76" s="1179" t="s">
        <v>865</v>
      </c>
      <c r="BE76" s="1180">
        <f>'Points System'!AF833</f>
        <v>0</v>
      </c>
    </row>
    <row r="77" spans="1:57" ht="12.9" customHeight="1">
      <c r="A77" s="1298"/>
      <c r="B77" s="1298"/>
      <c r="C77" s="1298"/>
      <c r="D77" s="1298"/>
      <c r="E77" s="1298"/>
      <c r="F77" s="1298"/>
      <c r="G77" s="1298"/>
      <c r="H77" s="1298"/>
      <c r="I77" s="1298"/>
      <c r="J77" s="1298"/>
      <c r="K77" s="1298"/>
      <c r="L77" s="1298"/>
      <c r="M77" s="1298"/>
      <c r="N77" s="1298"/>
      <c r="O77" s="1298"/>
      <c r="P77" s="1298"/>
      <c r="Q77" s="1298"/>
      <c r="R77" s="1298"/>
      <c r="S77" s="1298"/>
      <c r="T77" s="1298"/>
      <c r="U77" s="1298"/>
      <c r="V77" s="1298"/>
      <c r="W77" s="1298"/>
      <c r="X77" s="1298"/>
      <c r="Y77" s="1298"/>
      <c r="Z77" s="1298"/>
      <c r="AA77" s="1298"/>
      <c r="AB77" s="1298"/>
      <c r="AC77" s="1298"/>
      <c r="AD77" s="1298"/>
      <c r="AE77" s="1298"/>
      <c r="AF77" s="1298"/>
      <c r="AG77" s="1298"/>
      <c r="AH77" s="1298"/>
      <c r="AI77" s="1298"/>
      <c r="AJ77" s="1298"/>
      <c r="AK77" s="1298"/>
      <c r="AL77" s="1298"/>
      <c r="AM77" s="1298"/>
      <c r="AN77" s="1298"/>
      <c r="AO77" s="1298"/>
      <c r="AP77" s="1298"/>
      <c r="AQ77" s="1298"/>
      <c r="AR77" s="1298"/>
      <c r="AS77" s="1298"/>
      <c r="AT77" s="1298"/>
      <c r="AU77" s="20"/>
      <c r="AV77" s="20"/>
      <c r="AW77" s="20"/>
      <c r="AX77" s="20"/>
      <c r="AY77" s="20"/>
      <c r="AZ77" s="17"/>
      <c r="BD77" s="1178" t="s">
        <v>866</v>
      </c>
      <c r="BE77" s="1180">
        <f>'Points System'!AF834</f>
        <v>0</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79" t="s">
        <v>867</v>
      </c>
      <c r="BE78" s="1180">
        <f>'Points System'!AF836</f>
        <v>10</v>
      </c>
    </row>
    <row r="79" spans="1:57" ht="12.9" customHeight="1">
      <c r="A79" s="1447" t="s">
        <v>868</v>
      </c>
      <c r="B79" s="1298"/>
      <c r="C79" s="1298"/>
      <c r="D79" s="1298"/>
      <c r="E79" s="1298"/>
      <c r="F79" s="1298"/>
      <c r="G79" s="1298"/>
      <c r="H79" s="1298"/>
      <c r="I79" s="1298"/>
      <c r="J79" s="1298"/>
      <c r="K79" s="1298"/>
      <c r="L79" s="1298"/>
      <c r="M79" s="1298"/>
      <c r="N79" s="1298"/>
      <c r="O79" s="1298"/>
      <c r="P79" s="1298"/>
      <c r="Q79" s="1298"/>
      <c r="R79" s="1298"/>
      <c r="S79" s="1298"/>
      <c r="T79" s="1298"/>
      <c r="U79" s="1298"/>
      <c r="V79" s="1298"/>
      <c r="W79" s="1298"/>
      <c r="X79" s="1298"/>
      <c r="Y79" s="1298"/>
      <c r="Z79" s="1298"/>
      <c r="AA79" s="1298"/>
      <c r="AB79" s="1298"/>
      <c r="AC79" s="1298"/>
      <c r="AD79" s="1298"/>
      <c r="AE79" s="1298"/>
      <c r="AF79" s="1298"/>
      <c r="AG79" s="1298"/>
      <c r="AH79" s="1298"/>
      <c r="AI79" s="1298"/>
      <c r="AJ79" s="1298"/>
      <c r="AK79" s="1298"/>
      <c r="AL79" s="1298"/>
      <c r="AM79" s="1298"/>
      <c r="AN79" s="1298"/>
      <c r="AO79" s="1298"/>
      <c r="AP79" s="1298"/>
      <c r="AQ79" s="1298"/>
      <c r="AR79" s="1298"/>
      <c r="AS79" s="1298"/>
      <c r="AT79" s="1298"/>
      <c r="AU79" s="20"/>
      <c r="AV79" s="20"/>
      <c r="AW79" s="20"/>
      <c r="AX79" s="20"/>
      <c r="AY79" s="20"/>
      <c r="AZ79" s="20"/>
      <c r="BD79" s="1178" t="s">
        <v>869</v>
      </c>
      <c r="BE79" s="1180">
        <f>'Points System'!AF837</f>
        <v>0</v>
      </c>
    </row>
    <row r="80" spans="1:57" ht="12.9" customHeight="1">
      <c r="A80" s="1298"/>
      <c r="B80" s="1298"/>
      <c r="C80" s="1298"/>
      <c r="D80" s="1298"/>
      <c r="E80" s="1298"/>
      <c r="F80" s="1298"/>
      <c r="G80" s="1298"/>
      <c r="H80" s="1298"/>
      <c r="I80" s="1298"/>
      <c r="J80" s="1298"/>
      <c r="K80" s="1298"/>
      <c r="L80" s="1298"/>
      <c r="M80" s="1298"/>
      <c r="N80" s="1298"/>
      <c r="O80" s="1298"/>
      <c r="P80" s="1298"/>
      <c r="Q80" s="1298"/>
      <c r="R80" s="1298"/>
      <c r="S80" s="1298"/>
      <c r="T80" s="1298"/>
      <c r="U80" s="1298"/>
      <c r="V80" s="1298"/>
      <c r="W80" s="1298"/>
      <c r="X80" s="1298"/>
      <c r="Y80" s="1298"/>
      <c r="Z80" s="1298"/>
      <c r="AA80" s="1298"/>
      <c r="AB80" s="1298"/>
      <c r="AC80" s="1298"/>
      <c r="AD80" s="1298"/>
      <c r="AE80" s="1298"/>
      <c r="AF80" s="1298"/>
      <c r="AG80" s="1298"/>
      <c r="AH80" s="1298"/>
      <c r="AI80" s="1298"/>
      <c r="AJ80" s="1298"/>
      <c r="AK80" s="1298"/>
      <c r="AL80" s="1298"/>
      <c r="AM80" s="1298"/>
      <c r="AN80" s="1298"/>
      <c r="AO80" s="1298"/>
      <c r="AP80" s="1298"/>
      <c r="AQ80" s="1298"/>
      <c r="AR80" s="1298"/>
      <c r="AS80" s="1298"/>
      <c r="AT80" s="1298"/>
      <c r="AU80" s="20"/>
      <c r="AV80" s="20"/>
      <c r="AW80" s="20"/>
      <c r="AX80" s="20"/>
      <c r="AY80" s="20"/>
      <c r="AZ80" s="20"/>
      <c r="BD80" s="1179" t="s">
        <v>870</v>
      </c>
      <c r="BE80" s="1180">
        <f>'Points System'!AF839</f>
        <v>10</v>
      </c>
    </row>
    <row r="81" spans="1:57" ht="12.9" customHeight="1">
      <c r="A81" s="1298"/>
      <c r="B81" s="1298"/>
      <c r="C81" s="1298"/>
      <c r="D81" s="1298"/>
      <c r="E81" s="1298"/>
      <c r="F81" s="1298"/>
      <c r="G81" s="1298"/>
      <c r="H81" s="1298"/>
      <c r="I81" s="1298"/>
      <c r="J81" s="1298"/>
      <c r="K81" s="1298"/>
      <c r="L81" s="1298"/>
      <c r="M81" s="1298"/>
      <c r="N81" s="1298"/>
      <c r="O81" s="1298"/>
      <c r="P81" s="1298"/>
      <c r="Q81" s="1298"/>
      <c r="R81" s="1298"/>
      <c r="S81" s="1298"/>
      <c r="T81" s="1298"/>
      <c r="U81" s="1298"/>
      <c r="V81" s="1298"/>
      <c r="W81" s="1298"/>
      <c r="X81" s="1298"/>
      <c r="Y81" s="1298"/>
      <c r="Z81" s="1298"/>
      <c r="AA81" s="1298"/>
      <c r="AB81" s="1298"/>
      <c r="AC81" s="1298"/>
      <c r="AD81" s="1298"/>
      <c r="AE81" s="1298"/>
      <c r="AF81" s="1298"/>
      <c r="AG81" s="1298"/>
      <c r="AH81" s="1298"/>
      <c r="AI81" s="1298"/>
      <c r="AJ81" s="1298"/>
      <c r="AK81" s="1298"/>
      <c r="AL81" s="1298"/>
      <c r="AM81" s="1298"/>
      <c r="AN81" s="1298"/>
      <c r="AO81" s="1298"/>
      <c r="AP81" s="1298"/>
      <c r="AQ81" s="1298"/>
      <c r="AR81" s="1298"/>
      <c r="AS81" s="1298"/>
      <c r="AT81" s="1298"/>
      <c r="AU81" s="20"/>
      <c r="AV81" s="20"/>
      <c r="AW81" s="20"/>
      <c r="AX81" s="20"/>
      <c r="AY81" s="20"/>
      <c r="AZ81" s="20"/>
      <c r="BD81" s="1178" t="s">
        <v>871</v>
      </c>
      <c r="BE81" s="1180">
        <f>'Points System'!AF840</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79" t="s">
        <v>872</v>
      </c>
      <c r="BE82" s="1180">
        <f>'Points System'!AF841</f>
        <v>10</v>
      </c>
    </row>
    <row r="83" spans="1:57" ht="12.9" customHeight="1">
      <c r="A83" s="1299" t="s">
        <v>873</v>
      </c>
      <c r="B83" s="1298"/>
      <c r="C83" s="1298"/>
      <c r="D83" s="1298"/>
      <c r="E83" s="1298"/>
      <c r="F83" s="1298"/>
      <c r="G83" s="1298"/>
      <c r="H83" s="1298"/>
      <c r="I83" s="1298"/>
      <c r="J83" s="1298"/>
      <c r="K83" s="1298"/>
      <c r="L83" s="1298"/>
      <c r="M83" s="1298"/>
      <c r="N83" s="1298"/>
      <c r="O83" s="1298"/>
      <c r="P83" s="1298"/>
      <c r="Q83" s="1298"/>
      <c r="R83" s="1298"/>
      <c r="S83" s="1298"/>
      <c r="T83" s="1298"/>
      <c r="U83" s="1298"/>
      <c r="V83" s="1298"/>
      <c r="W83" s="1298"/>
      <c r="X83" s="1298"/>
      <c r="Y83" s="1298"/>
      <c r="Z83" s="1298"/>
      <c r="AA83" s="1298"/>
      <c r="AB83" s="1298"/>
      <c r="AC83" s="1298"/>
      <c r="AD83" s="1298"/>
      <c r="AE83" s="1298"/>
      <c r="AF83" s="1298"/>
      <c r="AG83" s="1298"/>
      <c r="AH83" s="1298"/>
      <c r="AI83" s="1298"/>
      <c r="AJ83" s="1298"/>
      <c r="AK83" s="1298"/>
      <c r="AL83" s="1298"/>
      <c r="AM83" s="1298"/>
      <c r="AN83" s="1298"/>
      <c r="AO83" s="1298"/>
      <c r="AP83" s="1298"/>
      <c r="AQ83" s="1298"/>
      <c r="AR83" s="1298"/>
      <c r="AS83" s="1298"/>
      <c r="AT83" s="1298"/>
      <c r="AU83" s="20"/>
      <c r="AV83" s="20"/>
      <c r="AW83" s="20"/>
      <c r="AX83" s="20"/>
      <c r="AY83" s="20"/>
      <c r="AZ83" s="20"/>
      <c r="BD83" s="1178" t="s">
        <v>874</v>
      </c>
      <c r="BE83" s="1183">
        <f>'Tie Breaker'!H5</f>
        <v>3.5444623007987972</v>
      </c>
    </row>
    <row r="84" spans="1:57" ht="12.9" customHeight="1">
      <c r="A84" s="1298"/>
      <c r="B84" s="1298"/>
      <c r="C84" s="1298"/>
      <c r="D84" s="1298"/>
      <c r="E84" s="1298"/>
      <c r="F84" s="1298"/>
      <c r="G84" s="1298"/>
      <c r="H84" s="1298"/>
      <c r="I84" s="1298"/>
      <c r="J84" s="1298"/>
      <c r="K84" s="1298"/>
      <c r="L84" s="1298"/>
      <c r="M84" s="1298"/>
      <c r="N84" s="1298"/>
      <c r="O84" s="1298"/>
      <c r="P84" s="1298"/>
      <c r="Q84" s="1298"/>
      <c r="R84" s="1298"/>
      <c r="S84" s="1298"/>
      <c r="T84" s="1298"/>
      <c r="U84" s="1298"/>
      <c r="V84" s="1298"/>
      <c r="W84" s="1298"/>
      <c r="X84" s="1298"/>
      <c r="Y84" s="1298"/>
      <c r="Z84" s="1298"/>
      <c r="AA84" s="1298"/>
      <c r="AB84" s="1298"/>
      <c r="AC84" s="1298"/>
      <c r="AD84" s="1298"/>
      <c r="AE84" s="1298"/>
      <c r="AF84" s="1298"/>
      <c r="AG84" s="1298"/>
      <c r="AH84" s="1298"/>
      <c r="AI84" s="1298"/>
      <c r="AJ84" s="1298"/>
      <c r="AK84" s="1298"/>
      <c r="AL84" s="1298"/>
      <c r="AM84" s="1298"/>
      <c r="AN84" s="1298"/>
      <c r="AO84" s="1298"/>
      <c r="AP84" s="1298"/>
      <c r="AQ84" s="1298"/>
      <c r="AR84" s="1298"/>
      <c r="AS84" s="1298"/>
      <c r="AT84" s="1298"/>
      <c r="AU84" s="20"/>
      <c r="AV84" s="20"/>
      <c r="AW84" s="20"/>
      <c r="AX84" s="20"/>
      <c r="AY84" s="20"/>
      <c r="AZ84" s="20"/>
      <c r="BD84" s="1179" t="s">
        <v>875</v>
      </c>
      <c r="BE84" s="1180" t="str">
        <f>Application!O153</f>
        <v>City of Los Angeles</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78" t="s">
        <v>876</v>
      </c>
      <c r="BE85" s="1180" t="str">
        <f>Application!O154</f>
        <v>Timothy Elliott</v>
      </c>
    </row>
    <row r="86" spans="1:57" ht="12.9" customHeight="1">
      <c r="A86" s="1299" t="s">
        <v>877</v>
      </c>
      <c r="B86" s="1298"/>
      <c r="C86" s="1298"/>
      <c r="D86" s="1298"/>
      <c r="E86" s="1298"/>
      <c r="F86" s="1298"/>
      <c r="G86" s="1298"/>
      <c r="H86" s="1298"/>
      <c r="I86" s="1298"/>
      <c r="J86" s="1298"/>
      <c r="K86" s="1298"/>
      <c r="L86" s="1298"/>
      <c r="M86" s="1298"/>
      <c r="N86" s="1298"/>
      <c r="O86" s="1298"/>
      <c r="P86" s="1298"/>
      <c r="Q86" s="1298"/>
      <c r="R86" s="1298"/>
      <c r="S86" s="1298"/>
      <c r="T86" s="1298"/>
      <c r="U86" s="1298"/>
      <c r="V86" s="1298"/>
      <c r="W86" s="1298"/>
      <c r="X86" s="1298"/>
      <c r="Y86" s="1298"/>
      <c r="Z86" s="1298"/>
      <c r="AA86" s="1298"/>
      <c r="AB86" s="1298"/>
      <c r="AC86" s="1298"/>
      <c r="AD86" s="1298"/>
      <c r="AE86" s="1298"/>
      <c r="AF86" s="1298"/>
      <c r="AG86" s="1298"/>
      <c r="AH86" s="1298"/>
      <c r="AI86" s="1298"/>
      <c r="AJ86" s="1298"/>
      <c r="AK86" s="1298"/>
      <c r="AL86" s="1298"/>
      <c r="AM86" s="1298"/>
      <c r="AN86" s="1298"/>
      <c r="AO86" s="1298"/>
      <c r="AP86" s="1298"/>
      <c r="AQ86" s="1298"/>
      <c r="AR86" s="1298"/>
      <c r="AS86" s="1298"/>
      <c r="AT86" s="1298"/>
      <c r="AU86" s="20"/>
      <c r="AV86" s="20"/>
      <c r="AW86" s="20"/>
      <c r="AX86" s="20"/>
      <c r="AY86" s="20"/>
      <c r="AZ86" s="20"/>
      <c r="BD86" s="1179" t="s">
        <v>878</v>
      </c>
      <c r="BE86" s="1180" t="str">
        <f>Application!O155</f>
        <v>City Manager</v>
      </c>
    </row>
    <row r="87" spans="1:57" ht="12.9" customHeight="1">
      <c r="A87" s="1298"/>
      <c r="B87" s="1298"/>
      <c r="C87" s="1298"/>
      <c r="D87" s="1298"/>
      <c r="E87" s="1298"/>
      <c r="F87" s="1298"/>
      <c r="G87" s="1298"/>
      <c r="H87" s="1298"/>
      <c r="I87" s="1298"/>
      <c r="J87" s="1298"/>
      <c r="K87" s="1298"/>
      <c r="L87" s="1298"/>
      <c r="M87" s="1298"/>
      <c r="N87" s="1298"/>
      <c r="O87" s="1298"/>
      <c r="P87" s="1298"/>
      <c r="Q87" s="1298"/>
      <c r="R87" s="1298"/>
      <c r="S87" s="1298"/>
      <c r="T87" s="1298"/>
      <c r="U87" s="1298"/>
      <c r="V87" s="1298"/>
      <c r="W87" s="1298"/>
      <c r="X87" s="1298"/>
      <c r="Y87" s="1298"/>
      <c r="Z87" s="1298"/>
      <c r="AA87" s="1298"/>
      <c r="AB87" s="1298"/>
      <c r="AC87" s="1298"/>
      <c r="AD87" s="1298"/>
      <c r="AE87" s="1298"/>
      <c r="AF87" s="1298"/>
      <c r="AG87" s="1298"/>
      <c r="AH87" s="1298"/>
      <c r="AI87" s="1298"/>
      <c r="AJ87" s="1298"/>
      <c r="AK87" s="1298"/>
      <c r="AL87" s="1298"/>
      <c r="AM87" s="1298"/>
      <c r="AN87" s="1298"/>
      <c r="AO87" s="1298"/>
      <c r="AP87" s="1298"/>
      <c r="AQ87" s="1298"/>
      <c r="AR87" s="1298"/>
      <c r="AS87" s="1298"/>
      <c r="AT87" s="1298"/>
      <c r="AU87" s="20"/>
      <c r="AV87" s="20"/>
      <c r="AW87" s="20"/>
      <c r="AX87" s="20"/>
      <c r="AY87" s="20"/>
      <c r="AZ87" s="20"/>
      <c r="BD87" s="1178" t="s">
        <v>879</v>
      </c>
      <c r="BE87" s="1180" t="str">
        <f>Application!O156</f>
        <v>1910 Sunset Blvd.,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79" t="s">
        <v>880</v>
      </c>
      <c r="BE88" s="1180" t="str">
        <f>Application!O157</f>
        <v>Los Angeles</v>
      </c>
    </row>
    <row r="89" spans="1:57" ht="12.9" customHeight="1">
      <c r="A89" s="1523" t="s">
        <v>881</v>
      </c>
      <c r="B89" s="1298"/>
      <c r="C89" s="1298"/>
      <c r="D89" s="1298"/>
      <c r="E89" s="1298"/>
      <c r="F89" s="1298"/>
      <c r="G89" s="1298"/>
      <c r="H89" s="1298"/>
      <c r="I89" s="1298"/>
      <c r="J89" s="1298"/>
      <c r="K89" s="1298"/>
      <c r="L89" s="1298"/>
      <c r="M89" s="1298"/>
      <c r="N89" s="1298"/>
      <c r="O89" s="1298"/>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c r="AL89" s="1298"/>
      <c r="AM89" s="1298"/>
      <c r="AN89" s="1298"/>
      <c r="AO89" s="1298"/>
      <c r="AP89" s="1298"/>
      <c r="AQ89" s="1298"/>
      <c r="AR89" s="1298"/>
      <c r="AS89" s="1298"/>
      <c r="AT89" s="1298"/>
      <c r="AU89" s="17"/>
      <c r="AV89" s="17"/>
      <c r="AW89" s="17"/>
      <c r="AX89" s="17"/>
      <c r="AY89" s="17"/>
      <c r="AZ89" s="20"/>
      <c r="BD89" s="1178" t="s">
        <v>882</v>
      </c>
      <c r="BE89" s="1180">
        <f>Application!O158</f>
        <v>90026</v>
      </c>
    </row>
    <row r="90" spans="1:57" ht="12.9" customHeight="1">
      <c r="A90" s="1298"/>
      <c r="B90" s="1298"/>
      <c r="C90" s="1298"/>
      <c r="D90" s="1298"/>
      <c r="E90" s="1298"/>
      <c r="F90" s="1298"/>
      <c r="G90" s="1298"/>
      <c r="H90" s="1298"/>
      <c r="I90" s="1298"/>
      <c r="J90" s="1298"/>
      <c r="K90" s="1298"/>
      <c r="L90" s="1298"/>
      <c r="M90" s="1298"/>
      <c r="N90" s="1298"/>
      <c r="O90" s="1298"/>
      <c r="P90" s="1298"/>
      <c r="Q90" s="1298"/>
      <c r="R90" s="1298"/>
      <c r="S90" s="1298"/>
      <c r="T90" s="1298"/>
      <c r="U90" s="1298"/>
      <c r="V90" s="1298"/>
      <c r="W90" s="1298"/>
      <c r="X90" s="1298"/>
      <c r="Y90" s="1298"/>
      <c r="Z90" s="1298"/>
      <c r="AA90" s="1298"/>
      <c r="AB90" s="1298"/>
      <c r="AC90" s="1298"/>
      <c r="AD90" s="1298"/>
      <c r="AE90" s="1298"/>
      <c r="AF90" s="1298"/>
      <c r="AG90" s="1298"/>
      <c r="AH90" s="1298"/>
      <c r="AI90" s="1298"/>
      <c r="AJ90" s="1298"/>
      <c r="AK90" s="1298"/>
      <c r="AL90" s="1298"/>
      <c r="AM90" s="1298"/>
      <c r="AN90" s="1298"/>
      <c r="AO90" s="1298"/>
      <c r="AP90" s="1298"/>
      <c r="AQ90" s="1298"/>
      <c r="AR90" s="1298"/>
      <c r="AS90" s="1298"/>
      <c r="AT90" s="1298"/>
      <c r="AU90" s="17"/>
      <c r="AV90" s="17"/>
      <c r="AW90" s="17"/>
      <c r="AX90" s="17"/>
      <c r="AY90" s="17"/>
      <c r="AZ90" s="20"/>
      <c r="BD90" s="1179" t="s">
        <v>883</v>
      </c>
      <c r="BE90" s="1180" t="str">
        <f>Application!H16</f>
        <v>Broadway Villages GP, LLC</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78" t="s">
        <v>884</v>
      </c>
      <c r="BE91" s="1180" t="str">
        <f>Application!M242</f>
        <v>1730 E. Holly Avenue, Suite 327</v>
      </c>
    </row>
    <row r="92" spans="1:57" ht="12.9" customHeight="1">
      <c r="A92" s="1585" t="s">
        <v>885</v>
      </c>
      <c r="B92" s="1298"/>
      <c r="C92" s="1298"/>
      <c r="D92" s="1298"/>
      <c r="E92" s="1298"/>
      <c r="F92" s="1298"/>
      <c r="G92" s="1298"/>
      <c r="H92" s="1298"/>
      <c r="I92" s="1298"/>
      <c r="J92" s="1298"/>
      <c r="K92" s="1298"/>
      <c r="L92" s="1298"/>
      <c r="M92" s="1298"/>
      <c r="N92" s="1298"/>
      <c r="O92" s="1298"/>
      <c r="P92" s="1298"/>
      <c r="Q92" s="1298"/>
      <c r="R92" s="1298"/>
      <c r="S92" s="1298"/>
      <c r="T92" s="1298"/>
      <c r="U92" s="1298"/>
      <c r="V92" s="1298"/>
      <c r="W92" s="1298"/>
      <c r="X92" s="1298"/>
      <c r="Y92" s="1298"/>
      <c r="Z92" s="1298"/>
      <c r="AA92" s="1298"/>
      <c r="AB92" s="1298"/>
      <c r="AC92" s="1298"/>
      <c r="AD92" s="1298"/>
      <c r="AE92" s="1298"/>
      <c r="AF92" s="1298"/>
      <c r="AG92" s="1298"/>
      <c r="AH92" s="1298"/>
      <c r="AI92" s="1298"/>
      <c r="AJ92" s="1298"/>
      <c r="AK92" s="1298"/>
      <c r="AL92" s="1298"/>
      <c r="AM92" s="1298"/>
      <c r="AN92" s="1298"/>
      <c r="AO92" s="1298"/>
      <c r="AP92" s="1298"/>
      <c r="AQ92" s="1298"/>
      <c r="AR92" s="1298"/>
      <c r="AS92" s="1298"/>
      <c r="AT92" s="1298"/>
      <c r="AU92" s="20"/>
      <c r="AV92" s="20"/>
      <c r="AW92" s="20"/>
      <c r="AX92" s="20"/>
      <c r="AY92" s="20"/>
      <c r="AZ92" s="20"/>
      <c r="BD92" s="1179" t="s">
        <v>886</v>
      </c>
      <c r="BE92" s="1180" t="str">
        <f>Application!M243</f>
        <v>Los Angeles</v>
      </c>
    </row>
    <row r="93" spans="1:57" ht="12.9" customHeight="1">
      <c r="A93" s="1298"/>
      <c r="B93" s="1298"/>
      <c r="C93" s="1298"/>
      <c r="D93" s="1298"/>
      <c r="E93" s="1298"/>
      <c r="F93" s="1298"/>
      <c r="G93" s="1298"/>
      <c r="H93" s="1298"/>
      <c r="I93" s="1298"/>
      <c r="J93" s="1298"/>
      <c r="K93" s="1298"/>
      <c r="L93" s="1298"/>
      <c r="M93" s="1298"/>
      <c r="N93" s="1298"/>
      <c r="O93" s="1298"/>
      <c r="P93" s="1298"/>
      <c r="Q93" s="1298"/>
      <c r="R93" s="1298"/>
      <c r="S93" s="1298"/>
      <c r="T93" s="1298"/>
      <c r="U93" s="1298"/>
      <c r="V93" s="1298"/>
      <c r="W93" s="1298"/>
      <c r="X93" s="1298"/>
      <c r="Y93" s="1298"/>
      <c r="Z93" s="1298"/>
      <c r="AA93" s="1298"/>
      <c r="AB93" s="1298"/>
      <c r="AC93" s="1298"/>
      <c r="AD93" s="1298"/>
      <c r="AE93" s="1298"/>
      <c r="AF93" s="1298"/>
      <c r="AG93" s="1298"/>
      <c r="AH93" s="1298"/>
      <c r="AI93" s="1298"/>
      <c r="AJ93" s="1298"/>
      <c r="AK93" s="1298"/>
      <c r="AL93" s="1298"/>
      <c r="AM93" s="1298"/>
      <c r="AN93" s="1298"/>
      <c r="AO93" s="1298"/>
      <c r="AP93" s="1298"/>
      <c r="AQ93" s="1298"/>
      <c r="AR93" s="1298"/>
      <c r="AS93" s="1298"/>
      <c r="AT93" s="1298"/>
      <c r="AU93" s="20"/>
      <c r="AV93" s="20"/>
      <c r="AW93" s="20"/>
      <c r="AX93" s="20"/>
      <c r="AY93" s="20"/>
      <c r="AZ93" s="20"/>
      <c r="BD93" s="1178" t="s">
        <v>887</v>
      </c>
      <c r="BE93" s="1180" t="str">
        <f>Application!W243</f>
        <v>CA</v>
      </c>
    </row>
    <row r="94" spans="1:57" ht="12.9" customHeight="1">
      <c r="A94" s="1298"/>
      <c r="B94" s="1298"/>
      <c r="C94" s="1298"/>
      <c r="D94" s="1298"/>
      <c r="E94" s="1298"/>
      <c r="F94" s="1298"/>
      <c r="G94" s="1298"/>
      <c r="H94" s="1298"/>
      <c r="I94" s="1298"/>
      <c r="J94" s="1298"/>
      <c r="K94" s="1298"/>
      <c r="L94" s="1298"/>
      <c r="M94" s="1298"/>
      <c r="N94" s="1298"/>
      <c r="O94" s="1298"/>
      <c r="P94" s="1298"/>
      <c r="Q94" s="1298"/>
      <c r="R94" s="1298"/>
      <c r="S94" s="1298"/>
      <c r="T94" s="1298"/>
      <c r="U94" s="1298"/>
      <c r="V94" s="1298"/>
      <c r="W94" s="1298"/>
      <c r="X94" s="1298"/>
      <c r="Y94" s="1298"/>
      <c r="Z94" s="1298"/>
      <c r="AA94" s="1298"/>
      <c r="AB94" s="1298"/>
      <c r="AC94" s="1298"/>
      <c r="AD94" s="1298"/>
      <c r="AE94" s="1298"/>
      <c r="AF94" s="1298"/>
      <c r="AG94" s="1298"/>
      <c r="AH94" s="1298"/>
      <c r="AI94" s="1298"/>
      <c r="AJ94" s="1298"/>
      <c r="AK94" s="1298"/>
      <c r="AL94" s="1298"/>
      <c r="AM94" s="1298"/>
      <c r="AN94" s="1298"/>
      <c r="AO94" s="1298"/>
      <c r="AP94" s="1298"/>
      <c r="AQ94" s="1298"/>
      <c r="AR94" s="1298"/>
      <c r="AS94" s="1298"/>
      <c r="AT94" s="1298"/>
      <c r="AU94" s="20"/>
      <c r="AV94" s="20"/>
      <c r="AW94" s="20"/>
      <c r="AX94" s="20"/>
      <c r="AY94" s="20"/>
      <c r="AZ94" s="20"/>
      <c r="BD94" s="1179" t="s">
        <v>888</v>
      </c>
      <c r="BE94" s="1180">
        <f>Application!AC243</f>
        <v>90245</v>
      </c>
    </row>
    <row r="95" spans="1:57" ht="12.9" customHeight="1">
      <c r="A95" s="1298"/>
      <c r="B95" s="1298"/>
      <c r="C95" s="1298"/>
      <c r="D95" s="1298"/>
      <c r="E95" s="1298"/>
      <c r="F95" s="1298"/>
      <c r="G95" s="1298"/>
      <c r="H95" s="1298"/>
      <c r="I95" s="1298"/>
      <c r="J95" s="1298"/>
      <c r="K95" s="1298"/>
      <c r="L95" s="1298"/>
      <c r="M95" s="1298"/>
      <c r="N95" s="1298"/>
      <c r="O95" s="1298"/>
      <c r="P95" s="1298"/>
      <c r="Q95" s="1298"/>
      <c r="R95" s="1298"/>
      <c r="S95" s="1298"/>
      <c r="T95" s="1298"/>
      <c r="U95" s="1298"/>
      <c r="V95" s="1298"/>
      <c r="W95" s="1298"/>
      <c r="X95" s="1298"/>
      <c r="Y95" s="1298"/>
      <c r="Z95" s="1298"/>
      <c r="AA95" s="1298"/>
      <c r="AB95" s="1298"/>
      <c r="AC95" s="1298"/>
      <c r="AD95" s="1298"/>
      <c r="AE95" s="1298"/>
      <c r="AF95" s="1298"/>
      <c r="AG95" s="1298"/>
      <c r="AH95" s="1298"/>
      <c r="AI95" s="1298"/>
      <c r="AJ95" s="1298"/>
      <c r="AK95" s="1298"/>
      <c r="AL95" s="1298"/>
      <c r="AM95" s="1298"/>
      <c r="AN95" s="1298"/>
      <c r="AO95" s="1298"/>
      <c r="AP95" s="1298"/>
      <c r="AQ95" s="1298"/>
      <c r="AR95" s="1298"/>
      <c r="AS95" s="1298"/>
      <c r="AT95" s="1298"/>
      <c r="AU95" s="20"/>
      <c r="AV95" s="20"/>
      <c r="AW95" s="20"/>
      <c r="AX95" s="20"/>
      <c r="AY95" s="20"/>
      <c r="AZ95" s="20"/>
      <c r="BD95" s="1178" t="s">
        <v>889</v>
      </c>
      <c r="BE95" s="1180" t="str">
        <f>Application!M244</f>
        <v>Phillip Curls</v>
      </c>
    </row>
    <row r="96" spans="1:57" ht="12.9" customHeight="1">
      <c r="A96" s="1298"/>
      <c r="B96" s="1298"/>
      <c r="C96" s="1298"/>
      <c r="D96" s="1298"/>
      <c r="E96" s="1298"/>
      <c r="F96" s="1298"/>
      <c r="G96" s="1298"/>
      <c r="H96" s="1298"/>
      <c r="I96" s="1298"/>
      <c r="J96" s="1298"/>
      <c r="K96" s="1298"/>
      <c r="L96" s="1298"/>
      <c r="M96" s="1298"/>
      <c r="N96" s="1298"/>
      <c r="O96" s="1298"/>
      <c r="P96" s="1298"/>
      <c r="Q96" s="1298"/>
      <c r="R96" s="1298"/>
      <c r="S96" s="1298"/>
      <c r="T96" s="1298"/>
      <c r="U96" s="1298"/>
      <c r="V96" s="1298"/>
      <c r="W96" s="1298"/>
      <c r="X96" s="1298"/>
      <c r="Y96" s="1298"/>
      <c r="Z96" s="1298"/>
      <c r="AA96" s="1298"/>
      <c r="AB96" s="1298"/>
      <c r="AC96" s="1298"/>
      <c r="AD96" s="1298"/>
      <c r="AE96" s="1298"/>
      <c r="AF96" s="1298"/>
      <c r="AG96" s="1298"/>
      <c r="AH96" s="1298"/>
      <c r="AI96" s="1298"/>
      <c r="AJ96" s="1298"/>
      <c r="AK96" s="1298"/>
      <c r="AL96" s="1298"/>
      <c r="AM96" s="1298"/>
      <c r="AN96" s="1298"/>
      <c r="AO96" s="1298"/>
      <c r="AP96" s="1298"/>
      <c r="AQ96" s="1298"/>
      <c r="AR96" s="1298"/>
      <c r="AS96" s="1298"/>
      <c r="AT96" s="1298"/>
      <c r="AU96" s="20"/>
      <c r="AV96" s="20"/>
      <c r="AW96" s="20"/>
      <c r="AX96" s="20"/>
      <c r="AY96" s="20"/>
      <c r="AZ96" s="20"/>
      <c r="BD96" s="1179" t="s">
        <v>890</v>
      </c>
      <c r="BE96" s="1180" t="str">
        <f>Application!M246</f>
        <v>pcurls@apg-dev.com</v>
      </c>
    </row>
    <row r="97" spans="1:57" ht="12.9" customHeight="1">
      <c r="A97" s="1298"/>
      <c r="B97" s="1298"/>
      <c r="C97" s="1298"/>
      <c r="D97" s="1298"/>
      <c r="E97" s="1298"/>
      <c r="F97" s="1298"/>
      <c r="G97" s="1298"/>
      <c r="H97" s="1298"/>
      <c r="I97" s="1298"/>
      <c r="J97" s="1298"/>
      <c r="K97" s="1298"/>
      <c r="L97" s="1298"/>
      <c r="M97" s="1298"/>
      <c r="N97" s="1298"/>
      <c r="O97" s="1298"/>
      <c r="P97" s="1298"/>
      <c r="Q97" s="1298"/>
      <c r="R97" s="1298"/>
      <c r="S97" s="1298"/>
      <c r="T97" s="1298"/>
      <c r="U97" s="1298"/>
      <c r="V97" s="1298"/>
      <c r="W97" s="1298"/>
      <c r="X97" s="1298"/>
      <c r="Y97" s="1298"/>
      <c r="Z97" s="1298"/>
      <c r="AA97" s="1298"/>
      <c r="AB97" s="1298"/>
      <c r="AC97" s="1298"/>
      <c r="AD97" s="1298"/>
      <c r="AE97" s="1298"/>
      <c r="AF97" s="1298"/>
      <c r="AG97" s="1298"/>
      <c r="AH97" s="1298"/>
      <c r="AI97" s="1298"/>
      <c r="AJ97" s="1298"/>
      <c r="AK97" s="1298"/>
      <c r="AL97" s="1298"/>
      <c r="AM97" s="1298"/>
      <c r="AN97" s="1298"/>
      <c r="AO97" s="1298"/>
      <c r="AP97" s="1298"/>
      <c r="AQ97" s="1298"/>
      <c r="AR97" s="1298"/>
      <c r="AS97" s="1298"/>
      <c r="AT97" s="1298"/>
      <c r="AU97" s="20"/>
      <c r="AV97" s="20"/>
      <c r="AW97" s="20"/>
      <c r="AX97" s="20"/>
      <c r="AY97" s="20"/>
      <c r="AZ97" s="20"/>
      <c r="BD97" s="1178" t="s">
        <v>891</v>
      </c>
      <c r="BE97" s="1180" t="str">
        <f>Application!M257</f>
        <v>david@crdc-housing.org</v>
      </c>
    </row>
    <row r="98" spans="1:57" ht="12.9" customHeight="1">
      <c r="A98" s="1298"/>
      <c r="B98" s="1298"/>
      <c r="C98" s="1298"/>
      <c r="D98" s="1298"/>
      <c r="E98" s="1298"/>
      <c r="F98" s="1298"/>
      <c r="G98" s="1298"/>
      <c r="H98" s="1298"/>
      <c r="I98" s="1298"/>
      <c r="J98" s="1298"/>
      <c r="K98" s="1298"/>
      <c r="L98" s="1298"/>
      <c r="M98" s="1298"/>
      <c r="N98" s="1298"/>
      <c r="O98" s="1298"/>
      <c r="P98" s="1298"/>
      <c r="Q98" s="1298"/>
      <c r="R98" s="1298"/>
      <c r="S98" s="1298"/>
      <c r="T98" s="1298"/>
      <c r="U98" s="1298"/>
      <c r="V98" s="1298"/>
      <c r="W98" s="1298"/>
      <c r="X98" s="1298"/>
      <c r="Y98" s="1298"/>
      <c r="Z98" s="1298"/>
      <c r="AA98" s="1298"/>
      <c r="AB98" s="1298"/>
      <c r="AC98" s="1298"/>
      <c r="AD98" s="1298"/>
      <c r="AE98" s="1298"/>
      <c r="AF98" s="1298"/>
      <c r="AG98" s="1298"/>
      <c r="AH98" s="1298"/>
      <c r="AI98" s="1298"/>
      <c r="AJ98" s="1298"/>
      <c r="AK98" s="1298"/>
      <c r="AL98" s="1298"/>
      <c r="AM98" s="1298"/>
      <c r="AN98" s="1298"/>
      <c r="AO98" s="1298"/>
      <c r="AP98" s="1298"/>
      <c r="AQ98" s="1298"/>
      <c r="AR98" s="1298"/>
      <c r="AS98" s="1298"/>
      <c r="AT98" s="1298"/>
      <c r="AU98" s="20"/>
      <c r="AV98" s="20"/>
      <c r="AW98" s="20"/>
      <c r="AX98" s="20"/>
      <c r="AY98" s="20"/>
      <c r="AZ98" s="20"/>
      <c r="BD98" s="1179" t="s">
        <v>892</v>
      </c>
      <c r="BE98" s="1180" t="str">
        <f>Application!M265</f>
        <v>pcurls@apg-dev.com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78" t="s">
        <v>893</v>
      </c>
      <c r="BE99" s="1180">
        <f>Application!M273</f>
        <v>0</v>
      </c>
    </row>
    <row r="100" spans="1:57" ht="12.9" customHeight="1">
      <c r="A100" s="1520" t="s">
        <v>894</v>
      </c>
      <c r="B100" s="1298"/>
      <c r="C100" s="1298"/>
      <c r="D100" s="1298"/>
      <c r="E100" s="1298"/>
      <c r="F100" s="1298"/>
      <c r="G100" s="1298"/>
      <c r="H100" s="1298"/>
      <c r="I100" s="1298"/>
      <c r="J100" s="1298"/>
      <c r="K100" s="1298"/>
      <c r="L100" s="1298"/>
      <c r="M100" s="1298"/>
      <c r="N100" s="1298"/>
      <c r="O100" s="1298"/>
      <c r="P100" s="1298"/>
      <c r="Q100" s="1298"/>
      <c r="R100" s="1298"/>
      <c r="S100" s="1298"/>
      <c r="T100" s="1298"/>
      <c r="U100" s="1298"/>
      <c r="V100" s="1298"/>
      <c r="W100" s="1298"/>
      <c r="X100" s="1298"/>
      <c r="Y100" s="1298"/>
      <c r="Z100" s="1298"/>
      <c r="AA100" s="1298"/>
      <c r="AB100" s="1298"/>
      <c r="AC100" s="1298"/>
      <c r="AD100" s="1298"/>
      <c r="AE100" s="1298"/>
      <c r="AF100" s="1298"/>
      <c r="AG100" s="1298"/>
      <c r="AH100" s="1298"/>
      <c r="AI100" s="1298"/>
      <c r="AJ100" s="1298"/>
      <c r="AK100" s="1298"/>
      <c r="AL100" s="1298"/>
      <c r="AM100" s="1298"/>
      <c r="AN100" s="1298"/>
      <c r="AO100" s="1298"/>
      <c r="AP100" s="1298"/>
      <c r="AQ100" s="1298"/>
      <c r="AR100" s="1298"/>
      <c r="AS100" s="1298"/>
      <c r="AT100" s="1298"/>
      <c r="AU100" s="20"/>
      <c r="AV100" s="20"/>
      <c r="AW100" s="20"/>
      <c r="AX100" s="20"/>
      <c r="AY100" s="20"/>
      <c r="AZ100" s="20"/>
      <c r="BD100" s="1179" t="s">
        <v>895</v>
      </c>
      <c r="BE100" s="1180" t="str">
        <f>Application!L288</f>
        <v>pcurls@apg-dev.com</v>
      </c>
    </row>
    <row r="101" spans="1:57" ht="12.9" customHeight="1">
      <c r="A101" s="1298"/>
      <c r="B101" s="1298"/>
      <c r="C101" s="1298"/>
      <c r="D101" s="1298"/>
      <c r="E101" s="1298"/>
      <c r="F101" s="1298"/>
      <c r="G101" s="1298"/>
      <c r="H101" s="1298"/>
      <c r="I101" s="1298"/>
      <c r="J101" s="1298"/>
      <c r="K101" s="1298"/>
      <c r="L101" s="1298"/>
      <c r="M101" s="1298"/>
      <c r="N101" s="1298"/>
      <c r="O101" s="1298"/>
      <c r="P101" s="1298"/>
      <c r="Q101" s="1298"/>
      <c r="R101" s="1298"/>
      <c r="S101" s="1298"/>
      <c r="T101" s="1298"/>
      <c r="U101" s="1298"/>
      <c r="V101" s="1298"/>
      <c r="W101" s="1298"/>
      <c r="X101" s="1298"/>
      <c r="Y101" s="1298"/>
      <c r="Z101" s="1298"/>
      <c r="AA101" s="1298"/>
      <c r="AB101" s="1298"/>
      <c r="AC101" s="1298"/>
      <c r="AD101" s="1298"/>
      <c r="AE101" s="1298"/>
      <c r="AF101" s="1298"/>
      <c r="AG101" s="1298"/>
      <c r="AH101" s="1298"/>
      <c r="AI101" s="1298"/>
      <c r="AJ101" s="1298"/>
      <c r="AK101" s="1298"/>
      <c r="AL101" s="1298"/>
      <c r="AM101" s="1298"/>
      <c r="AN101" s="1298"/>
      <c r="AO101" s="1298"/>
      <c r="AP101" s="1298"/>
      <c r="AQ101" s="1298"/>
      <c r="AR101" s="1298"/>
      <c r="AS101" s="1298"/>
      <c r="AT101" s="1298"/>
      <c r="AU101" s="20"/>
      <c r="AV101" s="20"/>
      <c r="AW101" s="20"/>
      <c r="AX101" s="20"/>
      <c r="AY101" s="20"/>
      <c r="AZ101" s="20"/>
      <c r="BD101" s="3" t="s">
        <v>896</v>
      </c>
      <c r="BE101">
        <f>'Sources and Uses Budget'!C105</f>
        <v>30975182</v>
      </c>
    </row>
    <row r="102" spans="1:57" ht="12.9" customHeight="1">
      <c r="A102" s="1298"/>
      <c r="B102" s="1298"/>
      <c r="C102" s="1298"/>
      <c r="D102" s="1298"/>
      <c r="E102" s="1298"/>
      <c r="F102" s="1298"/>
      <c r="G102" s="1298"/>
      <c r="H102" s="1298"/>
      <c r="I102" s="1298"/>
      <c r="J102" s="1298"/>
      <c r="K102" s="1298"/>
      <c r="L102" s="1298"/>
      <c r="M102" s="1298"/>
      <c r="N102" s="1298"/>
      <c r="O102" s="1298"/>
      <c r="P102" s="1298"/>
      <c r="Q102" s="1298"/>
      <c r="R102" s="1298"/>
      <c r="S102" s="1298"/>
      <c r="T102" s="1298"/>
      <c r="U102" s="1298"/>
      <c r="V102" s="1298"/>
      <c r="W102" s="1298"/>
      <c r="X102" s="1298"/>
      <c r="Y102" s="1298"/>
      <c r="Z102" s="1298"/>
      <c r="AA102" s="1298"/>
      <c r="AB102" s="1298"/>
      <c r="AC102" s="1298"/>
      <c r="AD102" s="1298"/>
      <c r="AE102" s="1298"/>
      <c r="AF102" s="1298"/>
      <c r="AG102" s="1298"/>
      <c r="AH102" s="1298"/>
      <c r="AI102" s="1298"/>
      <c r="AJ102" s="1298"/>
      <c r="AK102" s="1298"/>
      <c r="AL102" s="1298"/>
      <c r="AM102" s="1298"/>
      <c r="AN102" s="1298"/>
      <c r="AO102" s="1298"/>
      <c r="AP102" s="1298"/>
      <c r="AQ102" s="1298"/>
      <c r="AR102" s="1298"/>
      <c r="AS102" s="1298"/>
      <c r="AT102" s="1298"/>
      <c r="AU102" s="20"/>
      <c r="AV102" s="20"/>
      <c r="AW102" s="20"/>
      <c r="AX102" s="20"/>
      <c r="AY102" s="20"/>
      <c r="AZ102" s="20"/>
      <c r="BD102" s="3" t="s">
        <v>897</v>
      </c>
      <c r="BE102" t="b">
        <f>T197="Yes"</f>
        <v>1</v>
      </c>
    </row>
    <row r="103" spans="1:57" ht="12.9" customHeight="1">
      <c r="A103" s="1298"/>
      <c r="B103" s="1298"/>
      <c r="C103" s="1298"/>
      <c r="D103" s="1298"/>
      <c r="E103" s="1298"/>
      <c r="F103" s="1298"/>
      <c r="G103" s="1298"/>
      <c r="H103" s="1298"/>
      <c r="I103" s="1298"/>
      <c r="J103" s="1298"/>
      <c r="K103" s="1298"/>
      <c r="L103" s="1298"/>
      <c r="M103" s="1298"/>
      <c r="N103" s="1298"/>
      <c r="O103" s="1298"/>
      <c r="P103" s="1298"/>
      <c r="Q103" s="1298"/>
      <c r="R103" s="1298"/>
      <c r="S103" s="1298"/>
      <c r="T103" s="1298"/>
      <c r="U103" s="1298"/>
      <c r="V103" s="1298"/>
      <c r="W103" s="1298"/>
      <c r="X103" s="1298"/>
      <c r="Y103" s="1298"/>
      <c r="Z103" s="1298"/>
      <c r="AA103" s="1298"/>
      <c r="AB103" s="1298"/>
      <c r="AC103" s="1298"/>
      <c r="AD103" s="1298"/>
      <c r="AE103" s="1298"/>
      <c r="AF103" s="1298"/>
      <c r="AG103" s="1298"/>
      <c r="AH103" s="1298"/>
      <c r="AI103" s="1298"/>
      <c r="AJ103" s="1298"/>
      <c r="AK103" s="1298"/>
      <c r="AL103" s="1298"/>
      <c r="AM103" s="1298"/>
      <c r="AN103" s="1298"/>
      <c r="AO103" s="1298"/>
      <c r="AP103" s="1298"/>
      <c r="AQ103" s="1298"/>
      <c r="AR103" s="1298"/>
      <c r="AS103" s="1298"/>
      <c r="AT103" s="1298"/>
      <c r="AU103" s="20"/>
      <c r="AV103" s="20"/>
      <c r="AW103" s="20"/>
      <c r="AX103" s="20"/>
      <c r="AY103" s="20"/>
      <c r="BD103" t="s">
        <v>898</v>
      </c>
      <c r="BE103" s="1180"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899</v>
      </c>
      <c r="BE104" s="1180" t="b">
        <f>T200="Yes"</f>
        <v>0</v>
      </c>
    </row>
    <row r="105" spans="1:57" ht="12.9" customHeight="1">
      <c r="A105" s="1520" t="s">
        <v>900</v>
      </c>
      <c r="B105" s="1298"/>
      <c r="C105" s="1298"/>
      <c r="D105" s="1298"/>
      <c r="E105" s="1298"/>
      <c r="F105" s="1298"/>
      <c r="G105" s="1298"/>
      <c r="H105" s="1298"/>
      <c r="I105" s="1298"/>
      <c r="J105" s="1298"/>
      <c r="K105" s="1298"/>
      <c r="L105" s="1298"/>
      <c r="M105" s="1298"/>
      <c r="N105" s="1298"/>
      <c r="O105" s="1298"/>
      <c r="P105" s="1298"/>
      <c r="Q105" s="1298"/>
      <c r="R105" s="1298"/>
      <c r="S105" s="1298"/>
      <c r="T105" s="1298"/>
      <c r="U105" s="1298"/>
      <c r="V105" s="1298"/>
      <c r="W105" s="1298"/>
      <c r="X105" s="1298"/>
      <c r="Y105" s="1298"/>
      <c r="Z105" s="1298"/>
      <c r="AA105" s="1298"/>
      <c r="AB105" s="1298"/>
      <c r="AC105" s="1298"/>
      <c r="AD105" s="1298"/>
      <c r="AE105" s="1298"/>
      <c r="AF105" s="1298"/>
      <c r="AG105" s="1298"/>
      <c r="AH105" s="1298"/>
      <c r="AI105" s="1298"/>
      <c r="AJ105" s="1298"/>
      <c r="AK105" s="1298"/>
      <c r="AL105" s="1298"/>
      <c r="AM105" s="1298"/>
      <c r="AN105" s="1298"/>
      <c r="AO105" s="1298"/>
      <c r="AP105" s="1298"/>
      <c r="AQ105" s="1298"/>
      <c r="AR105" s="1298"/>
      <c r="AS105" s="1298"/>
      <c r="AT105" s="1298"/>
      <c r="AU105" s="20"/>
      <c r="AV105" s="20"/>
      <c r="AW105" s="20"/>
      <c r="AX105" s="20"/>
      <c r="AY105" s="20"/>
      <c r="BD105" s="3" t="s">
        <v>901</v>
      </c>
      <c r="BE105" s="1180" t="b">
        <f t="shared" ref="BE105:BE110" si="0">V224="Yes"</f>
        <v>0</v>
      </c>
    </row>
    <row r="106" spans="1:57" ht="12.9" customHeight="1">
      <c r="A106" s="1298"/>
      <c r="B106" s="1298"/>
      <c r="C106" s="1298"/>
      <c r="D106" s="1298"/>
      <c r="E106" s="1298"/>
      <c r="F106" s="1298"/>
      <c r="G106" s="1298"/>
      <c r="H106" s="1298"/>
      <c r="I106" s="1298"/>
      <c r="J106" s="1298"/>
      <c r="K106" s="1298"/>
      <c r="L106" s="1298"/>
      <c r="M106" s="1298"/>
      <c r="N106" s="1298"/>
      <c r="O106" s="1298"/>
      <c r="P106" s="1298"/>
      <c r="Q106" s="1298"/>
      <c r="R106" s="1298"/>
      <c r="S106" s="1298"/>
      <c r="T106" s="1298"/>
      <c r="U106" s="1298"/>
      <c r="V106" s="1298"/>
      <c r="W106" s="1298"/>
      <c r="X106" s="1298"/>
      <c r="Y106" s="1298"/>
      <c r="Z106" s="1298"/>
      <c r="AA106" s="1298"/>
      <c r="AB106" s="1298"/>
      <c r="AC106" s="1298"/>
      <c r="AD106" s="1298"/>
      <c r="AE106" s="1298"/>
      <c r="AF106" s="1298"/>
      <c r="AG106" s="1298"/>
      <c r="AH106" s="1298"/>
      <c r="AI106" s="1298"/>
      <c r="AJ106" s="1298"/>
      <c r="AK106" s="1298"/>
      <c r="AL106" s="1298"/>
      <c r="AM106" s="1298"/>
      <c r="AN106" s="1298"/>
      <c r="AO106" s="1298"/>
      <c r="AP106" s="1298"/>
      <c r="AQ106" s="1298"/>
      <c r="AR106" s="1298"/>
      <c r="AS106" s="1298"/>
      <c r="AT106" s="1298"/>
      <c r="AU106" s="20"/>
      <c r="AV106" s="20"/>
      <c r="AW106" s="20"/>
      <c r="AX106" s="20"/>
      <c r="AY106" s="20"/>
      <c r="BD106" s="3" t="s">
        <v>902</v>
      </c>
      <c r="BE106" s="1180" t="b">
        <f t="shared" si="0"/>
        <v>1</v>
      </c>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903</v>
      </c>
      <c r="BE107" s="1180" t="b">
        <f t="shared" si="0"/>
        <v>0</v>
      </c>
    </row>
    <row r="108" spans="1:57" ht="12.9" customHeight="1">
      <c r="A108" s="517" t="s">
        <v>904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905</v>
      </c>
      <c r="BE108" s="1180" t="b">
        <f t="shared" si="0"/>
        <v>0</v>
      </c>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906</v>
      </c>
      <c r="BE109" s="1180" t="b">
        <f t="shared" si="0"/>
        <v>0</v>
      </c>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907</v>
      </c>
      <c r="BE110" s="1180" t="b">
        <f t="shared" si="0"/>
        <v>0</v>
      </c>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908</v>
      </c>
      <c r="G113" s="1446">
        <v>18</v>
      </c>
      <c r="H113" s="1294"/>
      <c r="I113" s="3" t="s">
        <v>909</v>
      </c>
      <c r="L113" s="1446" t="s">
        <v>2789</v>
      </c>
      <c r="M113" s="1294"/>
      <c r="N113" s="1294"/>
      <c r="O113" s="1294"/>
      <c r="P113" s="1658" t="s">
        <v>910</v>
      </c>
      <c r="Q113" s="1293"/>
      <c r="R113" s="1293"/>
      <c r="S113" s="12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650" t="s">
        <v>911</v>
      </c>
      <c r="D115" s="1294"/>
      <c r="E115" s="1294"/>
      <c r="F115" s="1294"/>
      <c r="G115" s="1294"/>
      <c r="H115" s="1294"/>
      <c r="I115" s="1294"/>
      <c r="J115" s="1294"/>
      <c r="K115" s="1294"/>
      <c r="L115" s="202" t="s">
        <v>912</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913</v>
      </c>
      <c r="Y117" s="1446"/>
      <c r="Z117" s="1294"/>
      <c r="AA117" s="1294"/>
      <c r="AB117" s="1294"/>
      <c r="AC117" s="1294"/>
      <c r="AD117" s="1294"/>
      <c r="AE117" s="1294"/>
      <c r="AF117" s="1294"/>
      <c r="AG117" s="1294"/>
      <c r="AH117" s="1294"/>
      <c r="AI117" s="1294"/>
      <c r="AJ117" s="1294"/>
      <c r="AK117" s="1294"/>
    </row>
    <row r="118" spans="1:117" ht="12.9" customHeight="1">
      <c r="X118" s="3"/>
      <c r="Y118" s="3"/>
      <c r="Z118" s="3" t="s">
        <v>914</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446" t="s">
        <v>915</v>
      </c>
      <c r="Z120" s="1294"/>
      <c r="AA120" s="1294"/>
      <c r="AB120" s="1294"/>
      <c r="AC120" s="1294"/>
      <c r="AD120" s="1294"/>
      <c r="AE120" s="1294"/>
      <c r="AF120" s="1294"/>
      <c r="AG120" s="1294"/>
      <c r="AH120" s="1294"/>
      <c r="AI120" s="1294"/>
      <c r="AJ120" s="1294"/>
      <c r="AK120" s="1294"/>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916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917</v>
      </c>
      <c r="CR122" s="14"/>
      <c r="CS122" s="14"/>
      <c r="CT122" s="14"/>
      <c r="CU122" s="1651" t="s">
        <v>918</v>
      </c>
      <c r="CV122" s="1264"/>
      <c r="CW122" s="14"/>
      <c r="CX122" s="14" t="s">
        <v>919</v>
      </c>
      <c r="CY122" s="14"/>
      <c r="CZ122" s="14"/>
      <c r="DA122" s="14"/>
      <c r="DB122" s="14"/>
      <c r="DC122" s="14"/>
      <c r="DD122" s="14"/>
      <c r="DE122" s="14"/>
      <c r="DF122" s="14"/>
      <c r="DG122" s="1448" t="str">
        <f>T189</f>
        <v>Los Angeles</v>
      </c>
      <c r="DH122" s="1263"/>
      <c r="DI122" s="1263"/>
      <c r="DJ122" s="1263"/>
      <c r="DK122" s="1263"/>
      <c r="DL122" s="1263"/>
      <c r="DM122" s="1264"/>
    </row>
    <row r="123" spans="1:117" ht="12.9" customHeight="1">
      <c r="A123" s="3"/>
      <c r="B123" s="3"/>
      <c r="T123" s="3"/>
      <c r="U123" s="3"/>
      <c r="V123" s="3"/>
      <c r="W123" s="3"/>
      <c r="X123" s="3"/>
      <c r="Y123" s="1446" t="s">
        <v>920</v>
      </c>
      <c r="Z123" s="1294"/>
      <c r="AA123" s="1294"/>
      <c r="AB123" s="1294"/>
      <c r="AC123" s="1294"/>
      <c r="AD123" s="1294"/>
      <c r="AE123" s="1294"/>
      <c r="AF123" s="1294"/>
      <c r="AG123" s="1294"/>
      <c r="AH123" s="1294"/>
      <c r="AI123" s="1294"/>
      <c r="AJ123" s="1294"/>
      <c r="AK123" s="1294"/>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921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918</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922</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918</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hidden="1"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hidden="1"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hidden="1"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hidden="1"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hidden="1"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hidden="1"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hidden="1"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hidden="1"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hidden="1"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444</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923</v>
      </c>
    </row>
    <row r="150" spans="1:108" ht="12.9" customHeight="1">
      <c r="A150" s="3"/>
      <c r="B150" s="3"/>
      <c r="D150" s="3"/>
      <c r="E150" s="3"/>
      <c r="F150" s="1437"/>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924</v>
      </c>
    </row>
    <row r="152" spans="1:108" ht="12.9" customHeight="1">
      <c r="BM152">
        <v>4</v>
      </c>
      <c r="BN152" s="3" t="s">
        <v>925</v>
      </c>
    </row>
    <row r="153" spans="1:108" ht="12.9" customHeight="1">
      <c r="D153" t="s">
        <v>926</v>
      </c>
      <c r="O153" s="1407" t="s">
        <v>923</v>
      </c>
      <c r="P153" s="1294"/>
      <c r="Q153" s="1294"/>
      <c r="R153" s="1294"/>
      <c r="S153" s="1294"/>
      <c r="T153" s="1294"/>
      <c r="U153" s="1294"/>
      <c r="V153" s="1294"/>
      <c r="W153" s="1294"/>
      <c r="X153" s="1294"/>
      <c r="Y153" s="1294"/>
      <c r="Z153" s="1294"/>
      <c r="AA153" s="1294"/>
      <c r="AB153" s="1294"/>
      <c r="AC153" s="1294"/>
      <c r="AD153" s="1294"/>
      <c r="AE153" s="1294"/>
      <c r="AF153" s="1294"/>
      <c r="AG153" s="1294"/>
      <c r="AH153" s="1294"/>
      <c r="BM153">
        <v>5</v>
      </c>
      <c r="BN153" s="3" t="s">
        <v>927</v>
      </c>
      <c r="CR153" s="31" t="s">
        <v>928</v>
      </c>
      <c r="CS153" s="32"/>
      <c r="CT153" s="32"/>
      <c r="CU153" s="32"/>
      <c r="CV153" s="32"/>
      <c r="CW153" s="32"/>
      <c r="CX153" s="14"/>
      <c r="CY153" s="31" t="s">
        <v>929</v>
      </c>
      <c r="CZ153" s="14"/>
      <c r="DA153" s="14"/>
      <c r="DB153" s="14"/>
      <c r="DC153" s="14"/>
      <c r="DD153" s="14"/>
    </row>
    <row r="154" spans="1:108" ht="12.9" customHeight="1">
      <c r="D154" s="303" t="s">
        <v>930</v>
      </c>
      <c r="O154" s="1440" t="s">
        <v>931</v>
      </c>
      <c r="P154" s="1374"/>
      <c r="Q154" s="1374"/>
      <c r="R154" s="1374"/>
      <c r="S154" s="1374"/>
      <c r="T154" s="1374"/>
      <c r="U154" s="1374"/>
      <c r="V154" s="1374"/>
      <c r="W154" s="1374"/>
      <c r="X154" s="1374"/>
      <c r="Y154" s="1374"/>
      <c r="Z154" s="1374"/>
      <c r="AA154" s="1374"/>
      <c r="AB154" s="1374"/>
      <c r="AC154" s="1374"/>
      <c r="AD154" s="1374"/>
      <c r="AE154" s="1374"/>
      <c r="AF154" s="1374"/>
      <c r="AG154" s="1374"/>
      <c r="AH154" s="1374"/>
      <c r="BM154">
        <v>6</v>
      </c>
      <c r="BN154" s="3" t="s">
        <v>932</v>
      </c>
      <c r="CR154" s="31"/>
      <c r="CS154" s="32"/>
      <c r="CT154" s="32"/>
      <c r="CU154" s="32"/>
      <c r="CV154" s="32"/>
      <c r="CW154" s="32"/>
      <c r="CX154" s="14"/>
      <c r="CY154" s="31"/>
      <c r="CZ154" s="14"/>
      <c r="DA154" s="14"/>
      <c r="DB154" s="14"/>
      <c r="DC154" s="14"/>
      <c r="DD154" s="14"/>
    </row>
    <row r="155" spans="1:108" ht="12.9" customHeight="1">
      <c r="D155" s="8" t="s">
        <v>933</v>
      </c>
      <c r="F155" s="8"/>
      <c r="G155" s="8"/>
      <c r="H155" s="8"/>
      <c r="I155" s="8"/>
      <c r="J155" s="8"/>
      <c r="K155" s="8"/>
      <c r="L155" s="8"/>
      <c r="M155" s="8"/>
      <c r="N155" s="8"/>
      <c r="O155" s="1517" t="s">
        <v>934</v>
      </c>
      <c r="P155" s="1374"/>
      <c r="Q155" s="1374"/>
      <c r="R155" s="1374"/>
      <c r="S155" s="1374"/>
      <c r="T155" s="1374"/>
      <c r="U155" s="1374"/>
      <c r="V155" s="1374"/>
      <c r="W155" s="1374"/>
      <c r="X155" s="1374"/>
      <c r="Y155" s="1374"/>
      <c r="Z155" s="1374"/>
      <c r="AA155" s="1374"/>
      <c r="AB155" s="1374"/>
      <c r="AC155" s="1374"/>
      <c r="AD155" s="1374"/>
      <c r="AE155" s="1374"/>
      <c r="AF155" s="1374"/>
      <c r="AG155" s="1374"/>
      <c r="AH155" s="1374"/>
      <c r="BM155">
        <v>7</v>
      </c>
      <c r="BN155" s="3" t="s">
        <v>935</v>
      </c>
      <c r="CR155" s="31"/>
      <c r="CS155" s="32"/>
      <c r="CT155" s="32"/>
      <c r="CU155" s="32"/>
      <c r="CV155" s="32"/>
      <c r="CW155" s="32"/>
      <c r="CX155" s="14"/>
      <c r="CY155" s="31"/>
      <c r="CZ155" s="14"/>
      <c r="DA155" s="14"/>
      <c r="DB155" s="14"/>
      <c r="DC155" s="14"/>
      <c r="DD155" s="14"/>
    </row>
    <row r="156" spans="1:108" ht="12.9" customHeight="1">
      <c r="D156" t="s">
        <v>936</v>
      </c>
      <c r="O156" s="1389" t="s">
        <v>937</v>
      </c>
      <c r="P156" s="1294"/>
      <c r="Q156" s="1294"/>
      <c r="R156" s="1294"/>
      <c r="S156" s="1294"/>
      <c r="T156" s="1294"/>
      <c r="U156" s="1294"/>
      <c r="V156" s="1294"/>
      <c r="W156" s="1294"/>
      <c r="X156" s="1294"/>
      <c r="Y156" s="1294"/>
      <c r="Z156" s="1294"/>
      <c r="AA156" s="1294"/>
      <c r="AB156" s="1294"/>
      <c r="AC156" s="1294"/>
      <c r="AD156" s="1294"/>
      <c r="AE156" s="1294"/>
      <c r="AF156" s="1294"/>
      <c r="AG156" s="1294"/>
      <c r="AH156" s="1294"/>
      <c r="BT156" t="s">
        <v>444</v>
      </c>
      <c r="CB156" s="195" t="s">
        <v>938</v>
      </c>
      <c r="CC156" s="196"/>
      <c r="CD156" s="196"/>
      <c r="CE156" s="196"/>
      <c r="CF156" s="196"/>
      <c r="CG156" s="196"/>
      <c r="CH156" s="196"/>
      <c r="CI156" s="3"/>
      <c r="CJ156" s="195" t="s">
        <v>939</v>
      </c>
      <c r="CK156" s="3"/>
      <c r="CL156" s="3"/>
      <c r="CM156" s="3"/>
      <c r="CN156" s="3"/>
      <c r="CR156" s="31"/>
      <c r="CS156" s="32"/>
      <c r="CT156" s="32"/>
      <c r="CU156" s="32"/>
      <c r="CV156" s="32"/>
      <c r="CW156" s="32"/>
      <c r="CX156" s="14"/>
      <c r="CY156" s="31"/>
      <c r="CZ156" s="14"/>
      <c r="DA156" s="14"/>
      <c r="DB156" s="14"/>
      <c r="DC156" s="14"/>
      <c r="DD156" s="14"/>
    </row>
    <row r="157" spans="1:108" ht="12.9" customHeight="1">
      <c r="D157" t="s">
        <v>940</v>
      </c>
      <c r="O157" s="1407" t="s">
        <v>911</v>
      </c>
      <c r="P157" s="1294"/>
      <c r="Q157" s="1294"/>
      <c r="R157" s="1294"/>
      <c r="S157" s="1294"/>
      <c r="T157" s="1294"/>
      <c r="U157" s="1294"/>
      <c r="V157" s="1294"/>
      <c r="W157" s="1294"/>
      <c r="X157" s="1294"/>
      <c r="Y157" s="8"/>
      <c r="Z157" s="8"/>
      <c r="AA157" s="8"/>
      <c r="AB157" s="8"/>
      <c r="AC157" s="8"/>
      <c r="AD157" s="8"/>
      <c r="AE157" s="8"/>
      <c r="AF157" s="8"/>
      <c r="BN157" s="23" t="s">
        <v>941</v>
      </c>
      <c r="BS157">
        <v>2</v>
      </c>
      <c r="BT157" t="s">
        <v>942</v>
      </c>
      <c r="CB157" s="286" t="s">
        <v>943</v>
      </c>
      <c r="CC157" s="196"/>
      <c r="CD157" s="196"/>
      <c r="CE157" s="196"/>
      <c r="CF157" s="196"/>
      <c r="CG157" s="196"/>
      <c r="CH157" s="196"/>
      <c r="CI157" s="3"/>
      <c r="CJ157" s="286" t="s">
        <v>944</v>
      </c>
      <c r="CK157" s="3"/>
      <c r="CL157" s="3"/>
      <c r="CM157" s="3"/>
      <c r="CN157" s="3"/>
      <c r="CR157" s="14"/>
      <c r="CS157" s="32"/>
      <c r="CT157" s="32"/>
      <c r="CU157" s="32"/>
      <c r="CV157" s="32"/>
      <c r="CW157" s="32"/>
      <c r="CX157" s="14"/>
      <c r="CY157" s="14"/>
      <c r="CZ157" s="14"/>
      <c r="DA157" s="14"/>
      <c r="DB157" s="14"/>
      <c r="DC157" s="14"/>
      <c r="DD157" s="14"/>
    </row>
    <row r="158" spans="1:108" ht="12.9" customHeight="1">
      <c r="D158" t="s">
        <v>945</v>
      </c>
      <c r="O158" s="1642">
        <v>90026</v>
      </c>
      <c r="P158" s="1294"/>
      <c r="Q158" s="1294"/>
      <c r="R158" s="1294"/>
      <c r="S158" s="9"/>
      <c r="T158" s="9"/>
      <c r="U158" s="9"/>
      <c r="V158" s="9"/>
      <c r="W158" s="9"/>
      <c r="X158" s="9"/>
      <c r="Y158" s="9"/>
      <c r="Z158" s="9"/>
      <c r="AA158" s="9"/>
      <c r="AB158" s="9"/>
      <c r="AC158" s="9"/>
      <c r="AD158" s="9"/>
      <c r="AE158" s="9"/>
      <c r="AF158" s="9"/>
      <c r="BN158" s="23" t="s">
        <v>946</v>
      </c>
      <c r="BS158">
        <v>7</v>
      </c>
      <c r="BT158" t="s">
        <v>947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948</v>
      </c>
      <c r="O159" s="1521" t="s">
        <v>949</v>
      </c>
      <c r="P159" s="1294"/>
      <c r="Q159" s="1294"/>
      <c r="R159" s="1294"/>
      <c r="S159" s="1294"/>
      <c r="T159" s="1294"/>
      <c r="V159" s="97" t="s">
        <v>950</v>
      </c>
      <c r="W159" s="1468"/>
      <c r="X159" s="1294"/>
      <c r="Y159" s="10"/>
      <c r="Z159" s="10"/>
      <c r="AA159" s="10"/>
      <c r="AB159" s="10"/>
      <c r="AC159" s="10"/>
      <c r="AD159" s="10"/>
      <c r="AE159" s="10"/>
      <c r="AF159" s="10"/>
      <c r="BN159" s="23" t="s">
        <v>951</v>
      </c>
      <c r="BS159">
        <v>7</v>
      </c>
      <c r="BT159" t="s">
        <v>952</v>
      </c>
      <c r="CB159" s="347" t="s">
        <v>953</v>
      </c>
      <c r="CC159" s="348" t="s">
        <v>954</v>
      </c>
      <c r="CD159" s="348" t="s">
        <v>955</v>
      </c>
      <c r="CE159" s="348" t="s">
        <v>956</v>
      </c>
      <c r="CF159" s="348" t="s">
        <v>957</v>
      </c>
      <c r="CG159" s="348" t="s">
        <v>958</v>
      </c>
      <c r="CH159" s="348" t="s">
        <v>959</v>
      </c>
      <c r="CI159" s="3"/>
      <c r="CJ159" s="348" t="s">
        <v>954</v>
      </c>
      <c r="CK159" s="348" t="s">
        <v>955</v>
      </c>
      <c r="CL159" s="348" t="s">
        <v>956</v>
      </c>
      <c r="CM159" s="348" t="s">
        <v>957</v>
      </c>
      <c r="CN159" s="348" t="s">
        <v>958</v>
      </c>
      <c r="CR159" s="14"/>
      <c r="CS159" s="71" t="s">
        <v>960</v>
      </c>
      <c r="CT159" s="72" t="s">
        <v>955</v>
      </c>
      <c r="CU159" s="72" t="s">
        <v>956</v>
      </c>
      <c r="CV159" s="72" t="s">
        <v>957</v>
      </c>
      <c r="CW159" s="72" t="s">
        <v>961</v>
      </c>
      <c r="CX159" s="14"/>
      <c r="CY159" s="14"/>
      <c r="CZ159" s="71" t="s">
        <v>960</v>
      </c>
      <c r="DA159" s="72" t="s">
        <v>955</v>
      </c>
      <c r="DB159" s="72" t="s">
        <v>956</v>
      </c>
      <c r="DC159" s="72" t="s">
        <v>957</v>
      </c>
      <c r="DD159" s="72" t="s">
        <v>961</v>
      </c>
    </row>
    <row r="160" spans="1:108" ht="12.9" customHeight="1">
      <c r="D160" t="s">
        <v>962</v>
      </c>
      <c r="O160" s="1521"/>
      <c r="P160" s="1294"/>
      <c r="Q160" s="1294"/>
      <c r="R160" s="1294"/>
      <c r="S160" s="1294"/>
      <c r="T160" s="1294"/>
      <c r="U160" s="10"/>
      <c r="V160" s="10"/>
      <c r="W160" s="10"/>
      <c r="X160" s="10"/>
      <c r="Y160" s="10"/>
      <c r="Z160" s="10"/>
      <c r="AA160" s="10"/>
      <c r="AB160" s="10"/>
      <c r="AC160" s="10"/>
      <c r="AD160" s="10"/>
      <c r="AE160" s="10"/>
      <c r="AF160" s="10"/>
      <c r="BN160" s="23" t="s">
        <v>963</v>
      </c>
      <c r="BS160">
        <v>6</v>
      </c>
      <c r="BT160" t="s">
        <v>964</v>
      </c>
      <c r="CB160" s="349" t="s">
        <v>942</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941</v>
      </c>
      <c r="CS160" s="323">
        <v>491221</v>
      </c>
      <c r="CT160" s="323">
        <v>566373</v>
      </c>
      <c r="CU160" s="323">
        <v>683200</v>
      </c>
      <c r="CV160" s="323">
        <v>874496</v>
      </c>
      <c r="CW160" s="323">
        <v>974243</v>
      </c>
      <c r="CX160" s="14"/>
      <c r="CY160" s="23" t="s">
        <v>941</v>
      </c>
      <c r="CZ160" s="323">
        <v>491221</v>
      </c>
      <c r="DA160" s="323">
        <v>566373</v>
      </c>
      <c r="DB160" s="323">
        <v>683200</v>
      </c>
      <c r="DC160" s="323">
        <v>874496</v>
      </c>
      <c r="DD160" s="323">
        <v>974243</v>
      </c>
    </row>
    <row r="161" spans="1:108" ht="12.9" customHeight="1">
      <c r="D161" t="s">
        <v>965</v>
      </c>
      <c r="O161" s="1522" t="s">
        <v>966</v>
      </c>
      <c r="P161" s="1294"/>
      <c r="Q161" s="1294"/>
      <c r="R161" s="1294"/>
      <c r="S161" s="1294"/>
      <c r="T161" s="1294"/>
      <c r="U161" s="1294"/>
      <c r="V161" s="1294"/>
      <c r="W161" s="1294"/>
      <c r="X161" s="1294"/>
      <c r="Y161" s="1294"/>
      <c r="Z161" s="1294"/>
      <c r="AA161" s="1294"/>
      <c r="AB161" s="1294"/>
      <c r="AC161" s="1294"/>
      <c r="AD161" s="1294"/>
      <c r="AE161" s="1294"/>
      <c r="AF161" s="1294"/>
      <c r="AG161" s="1294"/>
      <c r="AH161" s="1294"/>
      <c r="BJ161" t="s">
        <v>811</v>
      </c>
      <c r="BN161" s="23" t="s">
        <v>967</v>
      </c>
      <c r="BS161">
        <v>7</v>
      </c>
      <c r="BT161" t="s">
        <v>968</v>
      </c>
      <c r="CB161" s="350" t="s">
        <v>947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946</v>
      </c>
      <c r="CS161" s="321">
        <v>402640</v>
      </c>
      <c r="CT161" s="321">
        <v>464240</v>
      </c>
      <c r="CU161" s="321">
        <v>560000</v>
      </c>
      <c r="CV161" s="321">
        <v>716800</v>
      </c>
      <c r="CW161" s="321">
        <v>798560</v>
      </c>
      <c r="CX161" s="14"/>
      <c r="CY161" s="23" t="s">
        <v>946</v>
      </c>
      <c r="CZ161" s="321">
        <v>402640</v>
      </c>
      <c r="DA161" s="321">
        <v>464240</v>
      </c>
      <c r="DB161" s="321">
        <v>560000</v>
      </c>
      <c r="DC161" s="321">
        <v>716800</v>
      </c>
      <c r="DD161" s="321">
        <v>798560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969</v>
      </c>
      <c r="BN162" s="23" t="s">
        <v>970</v>
      </c>
      <c r="BS162">
        <v>7</v>
      </c>
      <c r="BT162" t="s">
        <v>971</v>
      </c>
      <c r="CB162" s="350" t="s">
        <v>952</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951</v>
      </c>
      <c r="CS162" s="323">
        <v>402640</v>
      </c>
      <c r="CT162" s="323">
        <v>464240</v>
      </c>
      <c r="CU162" s="323">
        <v>560000</v>
      </c>
      <c r="CV162" s="323">
        <v>716800</v>
      </c>
      <c r="CW162" s="323">
        <v>798560</v>
      </c>
      <c r="CX162" s="14"/>
      <c r="CY162" s="23" t="s">
        <v>951</v>
      </c>
      <c r="CZ162" s="323">
        <v>402640</v>
      </c>
      <c r="DA162" s="323">
        <v>464240</v>
      </c>
      <c r="DB162" s="323">
        <v>560000</v>
      </c>
      <c r="DC162" s="323">
        <v>716800</v>
      </c>
      <c r="DD162" s="323">
        <v>798560</v>
      </c>
    </row>
    <row r="163" spans="1:108" ht="12.9" customHeight="1">
      <c r="C163" s="27" t="s">
        <v>972</v>
      </c>
      <c r="D163" s="3" t="s">
        <v>973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974</v>
      </c>
      <c r="BS163">
        <v>2</v>
      </c>
      <c r="BT163" t="s">
        <v>975</v>
      </c>
      <c r="CB163" s="350" t="s">
        <v>964</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963</v>
      </c>
      <c r="CS163" s="321">
        <v>369278</v>
      </c>
      <c r="CT163" s="321">
        <v>425774</v>
      </c>
      <c r="CU163" s="321">
        <v>513600</v>
      </c>
      <c r="CV163" s="321">
        <v>657408</v>
      </c>
      <c r="CW163" s="321">
        <v>732394</v>
      </c>
      <c r="CX163" s="14"/>
      <c r="CY163" s="23" t="s">
        <v>963</v>
      </c>
      <c r="CZ163" s="321">
        <v>369278</v>
      </c>
      <c r="DA163" s="321">
        <v>425774</v>
      </c>
      <c r="DB163" s="321">
        <v>513600</v>
      </c>
      <c r="DC163" s="321">
        <v>657408</v>
      </c>
      <c r="DD163" s="321">
        <v>732394</v>
      </c>
    </row>
    <row r="164" spans="1:108" ht="12.9" customHeight="1">
      <c r="C164" s="27"/>
      <c r="D164" s="1577" t="s">
        <v>976</v>
      </c>
      <c r="E164" s="1293"/>
      <c r="F164" s="1293"/>
      <c r="G164" s="1293"/>
      <c r="H164" s="1293"/>
      <c r="I164" s="1293"/>
      <c r="J164" s="1293"/>
      <c r="K164" s="1293"/>
      <c r="L164" s="1293"/>
      <c r="M164" s="1293"/>
      <c r="N164" s="1293"/>
      <c r="O164" s="1293"/>
      <c r="P164" s="1293"/>
      <c r="Q164" s="1293"/>
      <c r="R164" s="1293"/>
      <c r="S164" s="1293"/>
      <c r="T164" s="1293"/>
      <c r="U164" s="1293"/>
      <c r="V164" s="1293"/>
      <c r="W164" s="1293"/>
      <c r="X164" s="1293"/>
      <c r="Y164" s="1293"/>
      <c r="Z164" s="1293"/>
      <c r="AA164" s="1293"/>
      <c r="AB164" s="1293"/>
      <c r="AC164" s="1293"/>
      <c r="AD164" s="1293"/>
      <c r="AE164" s="1293"/>
      <c r="AF164" s="1293"/>
      <c r="AG164" s="1293"/>
      <c r="AH164" s="1293"/>
      <c r="BN164" s="23" t="s">
        <v>977</v>
      </c>
      <c r="BS164">
        <v>7</v>
      </c>
      <c r="BT164" t="s">
        <v>978</v>
      </c>
      <c r="CB164" s="350" t="s">
        <v>968</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967</v>
      </c>
      <c r="CS164" s="323">
        <v>402640</v>
      </c>
      <c r="CT164" s="323">
        <v>464240</v>
      </c>
      <c r="CU164" s="323">
        <v>560000</v>
      </c>
      <c r="CV164" s="323">
        <v>716800</v>
      </c>
      <c r="CW164" s="323">
        <v>798560</v>
      </c>
      <c r="CX164" s="14"/>
      <c r="CY164" s="23" t="s">
        <v>967</v>
      </c>
      <c r="CZ164" s="323">
        <v>402640</v>
      </c>
      <c r="DA164" s="323">
        <v>464240</v>
      </c>
      <c r="DB164" s="323">
        <v>560000</v>
      </c>
      <c r="DC164" s="323">
        <v>716800</v>
      </c>
      <c r="DD164" s="323">
        <v>798560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979</v>
      </c>
      <c r="BS165">
        <v>6</v>
      </c>
      <c r="BT165" t="s">
        <v>980</v>
      </c>
      <c r="CB165" s="350" t="s">
        <v>971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970</v>
      </c>
      <c r="CS165" s="321">
        <v>402640</v>
      </c>
      <c r="CT165" s="321">
        <v>464240</v>
      </c>
      <c r="CU165" s="321">
        <v>560000</v>
      </c>
      <c r="CV165" s="321">
        <v>716800</v>
      </c>
      <c r="CW165" s="321">
        <v>798560</v>
      </c>
      <c r="CX165" s="14"/>
      <c r="CY165" s="23" t="s">
        <v>970</v>
      </c>
      <c r="CZ165" s="321">
        <v>402640</v>
      </c>
      <c r="DA165" s="321">
        <v>464240</v>
      </c>
      <c r="DB165" s="321">
        <v>560000</v>
      </c>
      <c r="DC165" s="321">
        <v>716800</v>
      </c>
      <c r="DD165" s="321">
        <v>798560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981</v>
      </c>
      <c r="BS166">
        <v>5</v>
      </c>
      <c r="BT166" t="s">
        <v>982</v>
      </c>
      <c r="CB166" s="350" t="s">
        <v>975</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974</v>
      </c>
      <c r="CS166" s="323">
        <v>491221</v>
      </c>
      <c r="CT166" s="323">
        <v>566373</v>
      </c>
      <c r="CU166" s="323">
        <v>683200</v>
      </c>
      <c r="CV166" s="323">
        <v>874496</v>
      </c>
      <c r="CW166" s="323">
        <v>974243</v>
      </c>
      <c r="CX166" s="14"/>
      <c r="CY166" s="23" t="s">
        <v>974</v>
      </c>
      <c r="CZ166" s="323">
        <v>491221</v>
      </c>
      <c r="DA166" s="323">
        <v>566373</v>
      </c>
      <c r="DB166" s="323">
        <v>683200</v>
      </c>
      <c r="DC166" s="323">
        <v>874496</v>
      </c>
      <c r="DD166" s="323">
        <v>974243</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983</v>
      </c>
      <c r="BS167">
        <v>7</v>
      </c>
      <c r="BT167" t="s">
        <v>984</v>
      </c>
      <c r="CB167" s="350" t="s">
        <v>978</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977</v>
      </c>
      <c r="CS167" s="321">
        <v>402640</v>
      </c>
      <c r="CT167" s="321">
        <v>464240</v>
      </c>
      <c r="CU167" s="321">
        <v>560000</v>
      </c>
      <c r="CV167" s="321">
        <v>716800</v>
      </c>
      <c r="CW167" s="321">
        <v>798560</v>
      </c>
      <c r="CX167" s="14"/>
      <c r="CY167" s="23" t="s">
        <v>977</v>
      </c>
      <c r="CZ167" s="321">
        <v>402640</v>
      </c>
      <c r="DA167" s="321">
        <v>464240</v>
      </c>
      <c r="DB167" s="321">
        <v>560000</v>
      </c>
      <c r="DC167" s="321">
        <v>716800</v>
      </c>
      <c r="DD167" s="321">
        <v>798560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985</v>
      </c>
      <c r="BS168">
        <v>7</v>
      </c>
      <c r="BT168" t="s">
        <v>986</v>
      </c>
      <c r="CB168" s="350" t="s">
        <v>980</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979</v>
      </c>
      <c r="CS168" s="323">
        <v>360075</v>
      </c>
      <c r="CT168" s="323">
        <v>415163</v>
      </c>
      <c r="CU168" s="323">
        <v>500800</v>
      </c>
      <c r="CV168" s="323">
        <v>641024</v>
      </c>
      <c r="CW168" s="323">
        <v>714141</v>
      </c>
      <c r="CX168" s="14"/>
      <c r="CY168" s="23" t="s">
        <v>979</v>
      </c>
      <c r="CZ168" s="323">
        <v>360075</v>
      </c>
      <c r="DA168" s="323">
        <v>415163</v>
      </c>
      <c r="DB168" s="323">
        <v>500800</v>
      </c>
      <c r="DC168" s="323">
        <v>641024</v>
      </c>
      <c r="DD168" s="323">
        <v>714141</v>
      </c>
    </row>
    <row r="169" spans="1:108" ht="12.9" customHeight="1">
      <c r="A169" s="1462" t="s">
        <v>987</v>
      </c>
      <c r="B169" s="1298"/>
      <c r="C169" s="1298"/>
      <c r="D169" s="1298"/>
      <c r="E169" s="1298"/>
      <c r="F169" s="1298"/>
      <c r="G169" s="1298"/>
      <c r="H169" s="1298"/>
      <c r="I169" s="1298"/>
      <c r="J169" s="1298"/>
      <c r="K169" s="1298"/>
      <c r="L169" s="1298"/>
      <c r="M169" s="1298"/>
      <c r="N169" s="1298"/>
      <c r="O169" s="1298"/>
      <c r="P169" s="1298"/>
      <c r="Q169" s="1298"/>
      <c r="R169" s="1298"/>
      <c r="S169" s="1298"/>
      <c r="T169" s="1298"/>
      <c r="U169" s="1298"/>
      <c r="V169" s="1298"/>
      <c r="W169" s="1298"/>
      <c r="X169" s="1298"/>
      <c r="Y169" s="1298"/>
      <c r="Z169" s="1298"/>
      <c r="AA169" s="1298"/>
      <c r="AB169" s="1298"/>
      <c r="AC169" s="1298"/>
      <c r="AD169" s="1298"/>
      <c r="AE169" s="1298"/>
      <c r="AF169" s="1298"/>
      <c r="AG169" s="1298"/>
      <c r="AH169" s="1298"/>
      <c r="AI169" s="1298"/>
      <c r="AJ169" s="1298"/>
      <c r="AK169" s="1298"/>
      <c r="AL169" s="1298"/>
      <c r="AM169" s="1298"/>
      <c r="AN169" s="1298"/>
      <c r="AO169" s="1298"/>
      <c r="AP169" s="1298"/>
      <c r="AQ169" s="1298"/>
      <c r="AR169" s="1298"/>
      <c r="AS169" s="1298"/>
      <c r="AT169" s="1298"/>
      <c r="AU169" s="95"/>
      <c r="AV169" s="95"/>
      <c r="AW169" s="95"/>
      <c r="AX169" s="95"/>
      <c r="AY169" s="95"/>
      <c r="BN169" s="23" t="s">
        <v>988</v>
      </c>
      <c r="BS169">
        <v>5</v>
      </c>
      <c r="BT169" t="s">
        <v>989</v>
      </c>
      <c r="CB169" s="350" t="s">
        <v>982</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981</v>
      </c>
      <c r="CS169" s="321">
        <v>323262</v>
      </c>
      <c r="CT169" s="321">
        <v>372718</v>
      </c>
      <c r="CU169" s="321">
        <v>449600</v>
      </c>
      <c r="CV169" s="321">
        <v>575488</v>
      </c>
      <c r="CW169" s="321">
        <v>641130</v>
      </c>
      <c r="CX169" s="14"/>
      <c r="CY169" s="23" t="s">
        <v>981</v>
      </c>
      <c r="CZ169" s="321">
        <v>323262</v>
      </c>
      <c r="DA169" s="321">
        <v>372718</v>
      </c>
      <c r="DB169" s="321">
        <v>449600</v>
      </c>
      <c r="DC169" s="321">
        <v>575488</v>
      </c>
      <c r="DD169" s="321">
        <v>641130</v>
      </c>
    </row>
    <row r="170" spans="1:108" ht="12.9" customHeight="1">
      <c r="A170" s="1298"/>
      <c r="B170" s="1298"/>
      <c r="C170" s="1298"/>
      <c r="D170" s="1298"/>
      <c r="E170" s="1298"/>
      <c r="F170" s="1298"/>
      <c r="G170" s="1298"/>
      <c r="H170" s="1298"/>
      <c r="I170" s="1298"/>
      <c r="J170" s="1298"/>
      <c r="K170" s="1298"/>
      <c r="L170" s="1298"/>
      <c r="M170" s="1298"/>
      <c r="N170" s="1298"/>
      <c r="O170" s="1298"/>
      <c r="P170" s="1298"/>
      <c r="Q170" s="1298"/>
      <c r="R170" s="1298"/>
      <c r="S170" s="1298"/>
      <c r="T170" s="1298"/>
      <c r="U170" s="1298"/>
      <c r="V170" s="1298"/>
      <c r="W170" s="1298"/>
      <c r="X170" s="1298"/>
      <c r="Y170" s="1298"/>
      <c r="Z170" s="1298"/>
      <c r="AA170" s="1298"/>
      <c r="AB170" s="1298"/>
      <c r="AC170" s="1298"/>
      <c r="AD170" s="1298"/>
      <c r="AE170" s="1298"/>
      <c r="AF170" s="1298"/>
      <c r="AG170" s="1298"/>
      <c r="AH170" s="1298"/>
      <c r="AI170" s="1298"/>
      <c r="AJ170" s="1298"/>
      <c r="AK170" s="1298"/>
      <c r="AL170" s="1298"/>
      <c r="AM170" s="1298"/>
      <c r="AN170" s="1298"/>
      <c r="AO170" s="1298"/>
      <c r="AP170" s="1298"/>
      <c r="AQ170" s="1298"/>
      <c r="AR170" s="1298"/>
      <c r="AS170" s="1298"/>
      <c r="AT170" s="1298"/>
      <c r="AU170" s="95"/>
      <c r="AV170" s="95"/>
      <c r="AW170" s="95"/>
      <c r="AX170" s="95"/>
      <c r="AY170" s="95"/>
      <c r="BN170" s="23" t="s">
        <v>990</v>
      </c>
      <c r="BS170">
        <v>7</v>
      </c>
      <c r="BT170" t="s">
        <v>991</v>
      </c>
      <c r="CB170" s="350" t="s">
        <v>984</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983</v>
      </c>
      <c r="CS170" s="323">
        <v>402640</v>
      </c>
      <c r="CT170" s="323">
        <v>464240</v>
      </c>
      <c r="CU170" s="323">
        <v>560000</v>
      </c>
      <c r="CV170" s="323">
        <v>716800</v>
      </c>
      <c r="CW170" s="323">
        <v>798560</v>
      </c>
      <c r="CX170" s="14"/>
      <c r="CY170" s="23" t="s">
        <v>983</v>
      </c>
      <c r="CZ170" s="323">
        <v>402640</v>
      </c>
      <c r="DA170" s="323">
        <v>464240</v>
      </c>
      <c r="DB170" s="323">
        <v>560000</v>
      </c>
      <c r="DC170" s="323">
        <v>716800</v>
      </c>
      <c r="DD170" s="323">
        <v>798560</v>
      </c>
    </row>
    <row r="171" spans="1:108" ht="12.9" customHeight="1">
      <c r="BN171" s="23" t="s">
        <v>992</v>
      </c>
      <c r="BS171">
        <v>5</v>
      </c>
      <c r="BT171" t="s">
        <v>993</v>
      </c>
      <c r="CB171" s="350" t="s">
        <v>986</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985</v>
      </c>
      <c r="CS171" s="321">
        <v>402640</v>
      </c>
      <c r="CT171" s="321">
        <v>464240</v>
      </c>
      <c r="CU171" s="321">
        <v>560000</v>
      </c>
      <c r="CV171" s="321">
        <v>716800</v>
      </c>
      <c r="CW171" s="321">
        <v>798560</v>
      </c>
      <c r="CX171" s="14"/>
      <c r="CY171" s="23" t="s">
        <v>985</v>
      </c>
      <c r="CZ171" s="321">
        <v>402640</v>
      </c>
      <c r="DA171" s="321">
        <v>464240</v>
      </c>
      <c r="DB171" s="321">
        <v>560000</v>
      </c>
      <c r="DC171" s="321">
        <v>716800</v>
      </c>
      <c r="DD171" s="321">
        <v>798560</v>
      </c>
    </row>
    <row r="172" spans="1:108" ht="12.9" customHeight="1">
      <c r="A172" s="2" t="s">
        <v>994</v>
      </c>
      <c r="C172" s="2" t="s">
        <v>203</v>
      </c>
      <c r="BN172" s="23" t="s">
        <v>995</v>
      </c>
      <c r="BS172">
        <v>5</v>
      </c>
      <c r="BT172" t="s">
        <v>996</v>
      </c>
      <c r="CB172" s="350" t="s">
        <v>989</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988</v>
      </c>
      <c r="CS172" s="323">
        <v>381933</v>
      </c>
      <c r="CT172" s="323">
        <v>440365</v>
      </c>
      <c r="CU172" s="323">
        <v>531200</v>
      </c>
      <c r="CV172" s="323">
        <v>679936</v>
      </c>
      <c r="CW172" s="323">
        <v>757491</v>
      </c>
      <c r="CX172" s="14"/>
      <c r="CY172" s="23" t="s">
        <v>988</v>
      </c>
      <c r="CZ172" s="323">
        <v>381933</v>
      </c>
      <c r="DA172" s="323">
        <v>440365</v>
      </c>
      <c r="DB172" s="323">
        <v>531200</v>
      </c>
      <c r="DC172" s="323">
        <v>679936</v>
      </c>
      <c r="DD172" s="323">
        <v>757491</v>
      </c>
    </row>
    <row r="173" spans="1:108" ht="12.9" customHeight="1">
      <c r="C173" s="24"/>
      <c r="D173" t="s">
        <v>997</v>
      </c>
      <c r="J173" s="1428" t="s">
        <v>998</v>
      </c>
      <c r="K173" s="1294"/>
      <c r="L173" s="1294"/>
      <c r="M173" s="1294"/>
      <c r="N173" s="1294"/>
      <c r="O173" s="1294"/>
      <c r="P173" s="1294"/>
      <c r="Q173" s="1294"/>
      <c r="R173" s="1294"/>
      <c r="S173" s="1294"/>
      <c r="U173" s="25"/>
      <c r="X173" s="25"/>
      <c r="BB173" s="3" t="s">
        <v>444</v>
      </c>
      <c r="BN173" s="23" t="s">
        <v>999</v>
      </c>
      <c r="BS173">
        <v>7</v>
      </c>
      <c r="BT173" t="s">
        <v>1000</v>
      </c>
      <c r="CB173" s="350" t="s">
        <v>991</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990</v>
      </c>
      <c r="CS173" s="321">
        <v>402640</v>
      </c>
      <c r="CT173" s="321">
        <v>464240</v>
      </c>
      <c r="CU173" s="321">
        <v>560000</v>
      </c>
      <c r="CV173" s="321">
        <v>716800</v>
      </c>
      <c r="CW173" s="321">
        <v>798560</v>
      </c>
      <c r="CX173" s="14"/>
      <c r="CY173" s="23" t="s">
        <v>990</v>
      </c>
      <c r="CZ173" s="321">
        <v>402640</v>
      </c>
      <c r="DA173" s="321">
        <v>464240</v>
      </c>
      <c r="DB173" s="321">
        <v>560000</v>
      </c>
      <c r="DC173" s="321">
        <v>716800</v>
      </c>
      <c r="DD173" s="321">
        <v>798560</v>
      </c>
    </row>
    <row r="174" spans="1:108" ht="12.9" customHeight="1">
      <c r="C174" s="24"/>
      <c r="D174" s="3" t="s">
        <v>1001</v>
      </c>
      <c r="J174" s="1389" t="s">
        <v>1002</v>
      </c>
      <c r="K174" s="1294"/>
      <c r="L174" s="1294"/>
      <c r="M174" s="1294"/>
      <c r="N174" s="1294"/>
      <c r="O174" s="1294"/>
      <c r="P174" s="1294"/>
      <c r="Q174" s="1294"/>
      <c r="R174" s="1294"/>
      <c r="S174" s="1294"/>
      <c r="T174" s="1294"/>
      <c r="U174" s="1294"/>
      <c r="V174" s="1294"/>
      <c r="W174" s="1294"/>
      <c r="X174" s="1294"/>
      <c r="Y174" s="1294"/>
      <c r="Z174" s="1294"/>
      <c r="AA174" s="1294"/>
      <c r="AB174" s="1294"/>
      <c r="BB174" t="s">
        <v>68</v>
      </c>
      <c r="BN174" s="23" t="s">
        <v>1003</v>
      </c>
      <c r="BS174">
        <v>7</v>
      </c>
      <c r="BT174" t="s">
        <v>1004</v>
      </c>
      <c r="CB174" s="350" t="s">
        <v>993</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992</v>
      </c>
      <c r="CS174" s="323">
        <v>323262</v>
      </c>
      <c r="CT174" s="323">
        <v>372718</v>
      </c>
      <c r="CU174" s="323">
        <v>449600</v>
      </c>
      <c r="CV174" s="323">
        <v>575488</v>
      </c>
      <c r="CW174" s="323">
        <v>641130</v>
      </c>
      <c r="CX174" s="14"/>
      <c r="CY174" s="23" t="s">
        <v>992</v>
      </c>
      <c r="CZ174" s="323">
        <v>323262</v>
      </c>
      <c r="DA174" s="323">
        <v>372718</v>
      </c>
      <c r="DB174" s="323">
        <v>449600</v>
      </c>
      <c r="DC174" s="323">
        <v>575488</v>
      </c>
      <c r="DD174" s="323">
        <v>641130</v>
      </c>
    </row>
    <row r="175" spans="1:108" ht="12.9" customHeight="1">
      <c r="C175" s="8"/>
      <c r="D175" s="3" t="s">
        <v>1005</v>
      </c>
      <c r="O175" s="27"/>
      <c r="U175" s="1401" t="s">
        <v>969</v>
      </c>
      <c r="V175" s="1294"/>
      <c r="BB175" t="s">
        <v>70</v>
      </c>
      <c r="BN175" s="23" t="s">
        <v>1006</v>
      </c>
      <c r="BS175">
        <v>1</v>
      </c>
      <c r="BT175" t="s">
        <v>911</v>
      </c>
      <c r="CB175" s="350" t="s">
        <v>996</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995</v>
      </c>
      <c r="CS175" s="321">
        <v>323262</v>
      </c>
      <c r="CT175" s="321">
        <v>372718</v>
      </c>
      <c r="CU175" s="321">
        <v>449600</v>
      </c>
      <c r="CV175" s="321">
        <v>575488</v>
      </c>
      <c r="CW175" s="321">
        <v>641130</v>
      </c>
      <c r="CX175" s="14"/>
      <c r="CY175" s="23" t="s">
        <v>995</v>
      </c>
      <c r="CZ175" s="321">
        <v>323262</v>
      </c>
      <c r="DA175" s="321">
        <v>372718</v>
      </c>
      <c r="DB175" s="321">
        <v>449600</v>
      </c>
      <c r="DC175" s="321">
        <v>575488</v>
      </c>
      <c r="DD175" s="321">
        <v>641130</v>
      </c>
    </row>
    <row r="176" spans="1:108" ht="12.9" customHeight="1">
      <c r="C176" s="8"/>
      <c r="D176" s="26"/>
      <c r="E176" t="s">
        <v>1007</v>
      </c>
      <c r="O176" s="27"/>
      <c r="P176" t="s">
        <v>1008</v>
      </c>
      <c r="T176" s="27" t="s">
        <v>1009</v>
      </c>
      <c r="U176" s="1666"/>
      <c r="V176" s="1374"/>
      <c r="W176" s="1" t="s">
        <v>1010</v>
      </c>
      <c r="X176" s="1598"/>
      <c r="Y176" s="1294"/>
      <c r="BB176" t="s">
        <v>72</v>
      </c>
      <c r="BN176" s="23" t="s">
        <v>1011</v>
      </c>
      <c r="BS176">
        <v>5</v>
      </c>
      <c r="BT176" t="s">
        <v>1012</v>
      </c>
      <c r="CB176" s="350" t="s">
        <v>1000</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999</v>
      </c>
      <c r="CS176" s="323">
        <v>402640</v>
      </c>
      <c r="CT176" s="323">
        <v>464240</v>
      </c>
      <c r="CU176" s="323">
        <v>560000</v>
      </c>
      <c r="CV176" s="323">
        <v>716800</v>
      </c>
      <c r="CW176" s="323">
        <v>798560</v>
      </c>
      <c r="CX176" s="14"/>
      <c r="CY176" s="23" t="s">
        <v>999</v>
      </c>
      <c r="CZ176" s="323">
        <v>402640</v>
      </c>
      <c r="DA176" s="323">
        <v>464240</v>
      </c>
      <c r="DB176" s="323">
        <v>560000</v>
      </c>
      <c r="DC176" s="323">
        <v>716800</v>
      </c>
      <c r="DD176" s="323">
        <v>798560</v>
      </c>
    </row>
    <row r="177" spans="1:108" ht="12.9" customHeight="1">
      <c r="C177" s="24"/>
      <c r="D177" t="s">
        <v>1013</v>
      </c>
      <c r="R177" s="1401" t="s">
        <v>969</v>
      </c>
      <c r="S177" s="1294"/>
      <c r="BB177" t="s">
        <v>1014</v>
      </c>
      <c r="BN177" s="23" t="s">
        <v>1015</v>
      </c>
      <c r="BS177">
        <v>2</v>
      </c>
      <c r="BT177" t="s">
        <v>1016</v>
      </c>
      <c r="CB177" s="350" t="s">
        <v>1004</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1003</v>
      </c>
      <c r="CS177" s="321">
        <v>402640</v>
      </c>
      <c r="CT177" s="321">
        <v>464240</v>
      </c>
      <c r="CU177" s="321">
        <v>560000</v>
      </c>
      <c r="CV177" s="321">
        <v>716800</v>
      </c>
      <c r="CW177" s="321">
        <v>798560</v>
      </c>
      <c r="CX177" s="14"/>
      <c r="CY177" s="23" t="s">
        <v>1003</v>
      </c>
      <c r="CZ177" s="321">
        <v>402640</v>
      </c>
      <c r="DA177" s="321">
        <v>464240</v>
      </c>
      <c r="DB177" s="321">
        <v>560000</v>
      </c>
      <c r="DC177" s="321">
        <v>716800</v>
      </c>
      <c r="DD177" s="321">
        <v>798560</v>
      </c>
    </row>
    <row r="178" spans="1:108" ht="12.9" customHeight="1">
      <c r="C178" s="24"/>
      <c r="D178" s="3" t="s">
        <v>1017</v>
      </c>
      <c r="AA178" t="s">
        <v>1008</v>
      </c>
      <c r="AE178" s="27" t="s">
        <v>1009</v>
      </c>
      <c r="AF178" s="1660"/>
      <c r="AG178" s="1294"/>
      <c r="AH178" s="1" t="s">
        <v>1010</v>
      </c>
      <c r="AI178" s="1591"/>
      <c r="AJ178" s="1294"/>
      <c r="AK178" s="1294"/>
      <c r="BB178" t="s">
        <v>1018</v>
      </c>
      <c r="BN178" s="23" t="s">
        <v>1019</v>
      </c>
      <c r="BS178">
        <v>7</v>
      </c>
      <c r="BT178" t="s">
        <v>1020</v>
      </c>
      <c r="CB178" s="350" t="s">
        <v>911</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1006</v>
      </c>
      <c r="CS178" s="323">
        <v>437727</v>
      </c>
      <c r="CT178" s="323">
        <v>504695</v>
      </c>
      <c r="CU178" s="323">
        <v>608800</v>
      </c>
      <c r="CV178" s="323">
        <v>779264</v>
      </c>
      <c r="CW178" s="323">
        <v>868149</v>
      </c>
      <c r="CX178" s="14"/>
      <c r="CY178" s="23" t="s">
        <v>1006</v>
      </c>
      <c r="CZ178" s="323">
        <v>437727</v>
      </c>
      <c r="DA178" s="323">
        <v>504695</v>
      </c>
      <c r="DB178" s="323">
        <v>608800</v>
      </c>
      <c r="DC178" s="323">
        <v>779264</v>
      </c>
      <c r="DD178" s="323">
        <v>868149</v>
      </c>
    </row>
    <row r="179" spans="1:108" ht="12.9" customHeight="1">
      <c r="C179" s="24"/>
      <c r="BN179" s="23" t="s">
        <v>1021</v>
      </c>
      <c r="BS179">
        <v>7</v>
      </c>
      <c r="BT179" t="s">
        <v>1022</v>
      </c>
      <c r="CB179" s="350" t="s">
        <v>1012</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1011</v>
      </c>
      <c r="CS179" s="321">
        <v>323262</v>
      </c>
      <c r="CT179" s="321">
        <v>372718</v>
      </c>
      <c r="CU179" s="321">
        <v>449600</v>
      </c>
      <c r="CV179" s="321">
        <v>575488</v>
      </c>
      <c r="CW179" s="321">
        <v>641130</v>
      </c>
      <c r="CX179" s="14"/>
      <c r="CY179" s="23" t="s">
        <v>1011</v>
      </c>
      <c r="CZ179" s="321">
        <v>323262</v>
      </c>
      <c r="DA179" s="321">
        <v>372718</v>
      </c>
      <c r="DB179" s="321">
        <v>449600</v>
      </c>
      <c r="DC179" s="321">
        <v>575488</v>
      </c>
      <c r="DD179" s="321">
        <v>641130</v>
      </c>
    </row>
    <row r="180" spans="1:108" ht="12.9" customHeight="1">
      <c r="C180" s="24"/>
      <c r="D180" s="3" t="s">
        <v>1023</v>
      </c>
      <c r="X180" s="1401" t="s">
        <v>969</v>
      </c>
      <c r="Y180" s="1294"/>
      <c r="BN180" s="23" t="s">
        <v>1024</v>
      </c>
      <c r="BS180">
        <v>5</v>
      </c>
      <c r="BT180" t="s">
        <v>1025</v>
      </c>
      <c r="CB180" s="350" t="s">
        <v>1016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1015</v>
      </c>
      <c r="CS180" s="323">
        <v>406666</v>
      </c>
      <c r="CT180" s="323">
        <v>468882</v>
      </c>
      <c r="CU180" s="323">
        <v>565600</v>
      </c>
      <c r="CV180" s="323">
        <v>723968</v>
      </c>
      <c r="CW180" s="323">
        <v>806546</v>
      </c>
      <c r="CX180" s="14"/>
      <c r="CY180" s="23" t="s">
        <v>1015</v>
      </c>
      <c r="CZ180" s="323">
        <v>406666</v>
      </c>
      <c r="DA180" s="323">
        <v>468882</v>
      </c>
      <c r="DB180" s="323">
        <v>565600</v>
      </c>
      <c r="DC180" s="323">
        <v>723968</v>
      </c>
      <c r="DD180" s="323">
        <v>806546</v>
      </c>
    </row>
    <row r="181" spans="1:108" ht="12.9" customHeight="1">
      <c r="C181" s="8"/>
      <c r="E181" s="4" t="s">
        <v>1026</v>
      </c>
      <c r="BN181" s="23" t="s">
        <v>1027</v>
      </c>
      <c r="BS181">
        <v>7</v>
      </c>
      <c r="BT181" t="s">
        <v>1028</v>
      </c>
      <c r="CB181" s="350" t="s">
        <v>1020</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1019</v>
      </c>
      <c r="CS181" s="321">
        <v>402640</v>
      </c>
      <c r="CT181" s="321">
        <v>464240</v>
      </c>
      <c r="CU181" s="321">
        <v>560000</v>
      </c>
      <c r="CV181" s="321">
        <v>716800</v>
      </c>
      <c r="CW181" s="321">
        <v>798560</v>
      </c>
      <c r="CX181" s="14"/>
      <c r="CY181" s="23" t="s">
        <v>1019</v>
      </c>
      <c r="CZ181" s="321">
        <v>402640</v>
      </c>
      <c r="DA181" s="321">
        <v>464240</v>
      </c>
      <c r="DB181" s="321">
        <v>560000</v>
      </c>
      <c r="DC181" s="321">
        <v>716800</v>
      </c>
      <c r="DD181" s="321">
        <v>798560</v>
      </c>
    </row>
    <row r="182" spans="1:108" ht="12.9" customHeight="1">
      <c r="C182" s="530"/>
      <c r="BN182" s="23" t="s">
        <v>1029</v>
      </c>
      <c r="BS182">
        <v>7</v>
      </c>
      <c r="BT182" t="s">
        <v>1030</v>
      </c>
      <c r="CB182" s="350" t="s">
        <v>1022</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1021</v>
      </c>
      <c r="CS182" s="323">
        <v>402640</v>
      </c>
      <c r="CT182" s="323">
        <v>464240</v>
      </c>
      <c r="CU182" s="323">
        <v>560000</v>
      </c>
      <c r="CV182" s="323">
        <v>716800</v>
      </c>
      <c r="CW182" s="323">
        <v>798560</v>
      </c>
      <c r="CX182" s="14"/>
      <c r="CY182" s="23" t="s">
        <v>1021</v>
      </c>
      <c r="CZ182" s="323">
        <v>402640</v>
      </c>
      <c r="DA182" s="323">
        <v>464240</v>
      </c>
      <c r="DB182" s="323">
        <v>560000</v>
      </c>
      <c r="DC182" s="323">
        <v>716800</v>
      </c>
      <c r="DD182" s="323">
        <v>798560</v>
      </c>
    </row>
    <row r="183" spans="1:108" ht="12.9" customHeight="1">
      <c r="A183" s="2" t="s">
        <v>1031</v>
      </c>
      <c r="C183" s="2" t="s">
        <v>205</v>
      </c>
      <c r="BN183" s="23" t="s">
        <v>1032</v>
      </c>
      <c r="BS183">
        <v>4</v>
      </c>
      <c r="BT183" t="s">
        <v>1033</v>
      </c>
      <c r="CB183" s="350" t="s">
        <v>1025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1024</v>
      </c>
      <c r="CS183" s="321">
        <v>323262</v>
      </c>
      <c r="CT183" s="321">
        <v>372718</v>
      </c>
      <c r="CU183" s="321">
        <v>449600</v>
      </c>
      <c r="CV183" s="321">
        <v>575488</v>
      </c>
      <c r="CW183" s="321">
        <v>641130</v>
      </c>
      <c r="CX183" s="14"/>
      <c r="CY183" s="23" t="s">
        <v>1024</v>
      </c>
      <c r="CZ183" s="321">
        <v>323262</v>
      </c>
      <c r="DA183" s="321">
        <v>372718</v>
      </c>
      <c r="DB183" s="321">
        <v>449600</v>
      </c>
      <c r="DC183" s="321">
        <v>575488</v>
      </c>
      <c r="DD183" s="321">
        <v>641130</v>
      </c>
    </row>
    <row r="184" spans="1:108" ht="12.9" customHeight="1">
      <c r="C184" s="21"/>
      <c r="D184" t="s">
        <v>1034</v>
      </c>
      <c r="I184" s="1421" t="str">
        <f>H18</f>
        <v>Broadway Villages</v>
      </c>
      <c r="J184" s="1405"/>
      <c r="K184" s="1405"/>
      <c r="L184" s="1405"/>
      <c r="M184" s="1405"/>
      <c r="N184" s="1405"/>
      <c r="O184" s="1405"/>
      <c r="P184" s="1405"/>
      <c r="Q184" s="1405"/>
      <c r="R184" s="1405"/>
      <c r="S184" s="1405"/>
      <c r="T184" s="1405"/>
      <c r="U184" s="1405"/>
      <c r="V184" s="1405"/>
      <c r="W184" s="1405"/>
      <c r="X184" s="1405"/>
      <c r="Y184" s="1405"/>
      <c r="Z184" s="1405"/>
      <c r="AA184" s="1405"/>
      <c r="AB184" s="1405"/>
      <c r="AC184" s="1405"/>
      <c r="AD184" s="1405"/>
      <c r="AE184" s="1405"/>
      <c r="BC184" t="s">
        <v>1035</v>
      </c>
      <c r="BN184" s="23" t="s">
        <v>1036</v>
      </c>
      <c r="BS184">
        <v>4</v>
      </c>
      <c r="BT184" t="s">
        <v>1037</v>
      </c>
      <c r="CB184" s="350" t="s">
        <v>1028</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1027</v>
      </c>
      <c r="CS184" s="323">
        <v>402640</v>
      </c>
      <c r="CT184" s="323">
        <v>464240</v>
      </c>
      <c r="CU184" s="323">
        <v>560000</v>
      </c>
      <c r="CV184" s="323">
        <v>716800</v>
      </c>
      <c r="CW184" s="323">
        <v>798560</v>
      </c>
      <c r="CX184" s="14"/>
      <c r="CY184" s="23" t="s">
        <v>1027</v>
      </c>
      <c r="CZ184" s="323">
        <v>402640</v>
      </c>
      <c r="DA184" s="323">
        <v>464240</v>
      </c>
      <c r="DB184" s="323">
        <v>560000</v>
      </c>
      <c r="DC184" s="323">
        <v>716800</v>
      </c>
      <c r="DD184" s="323">
        <v>798560</v>
      </c>
    </row>
    <row r="185" spans="1:108" ht="12.9" customHeight="1">
      <c r="C185" s="21"/>
      <c r="D185" t="s">
        <v>1038</v>
      </c>
      <c r="I185" s="1431" t="s">
        <v>2758</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1039</v>
      </c>
      <c r="BN185" s="23" t="s">
        <v>1040</v>
      </c>
      <c r="BS185">
        <v>7</v>
      </c>
      <c r="BT185" t="s">
        <v>1041</v>
      </c>
      <c r="CB185" s="350" t="s">
        <v>1030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1029</v>
      </c>
      <c r="CS185" s="321">
        <v>402640</v>
      </c>
      <c r="CT185" s="321">
        <v>464240</v>
      </c>
      <c r="CU185" s="321">
        <v>560000</v>
      </c>
      <c r="CV185" s="321">
        <v>716800</v>
      </c>
      <c r="CW185" s="321">
        <v>798560</v>
      </c>
      <c r="CX185" s="14"/>
      <c r="CY185" s="23" t="s">
        <v>1029</v>
      </c>
      <c r="CZ185" s="321">
        <v>402640</v>
      </c>
      <c r="DA185" s="321">
        <v>464240</v>
      </c>
      <c r="DB185" s="321">
        <v>560000</v>
      </c>
      <c r="DC185" s="321">
        <v>716800</v>
      </c>
      <c r="DD185" s="321">
        <v>798560</v>
      </c>
    </row>
    <row r="186" spans="1:108" ht="12.9" customHeight="1">
      <c r="C186" s="21"/>
      <c r="E186" t="s">
        <v>1042</v>
      </c>
      <c r="BN186" s="23" t="s">
        <v>1043</v>
      </c>
      <c r="BS186">
        <v>4</v>
      </c>
      <c r="BT186" t="s">
        <v>1044</v>
      </c>
      <c r="CB186" s="350" t="s">
        <v>1033</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1032</v>
      </c>
      <c r="CS186" s="323">
        <v>442904</v>
      </c>
      <c r="CT186" s="323">
        <v>510664</v>
      </c>
      <c r="CU186" s="323">
        <v>616000</v>
      </c>
      <c r="CV186" s="323">
        <v>788480</v>
      </c>
      <c r="CW186" s="323">
        <v>878416</v>
      </c>
      <c r="CX186" s="14"/>
      <c r="CY186" s="23" t="s">
        <v>1032</v>
      </c>
      <c r="CZ186" s="323">
        <v>442904</v>
      </c>
      <c r="DA186" s="323">
        <v>510664</v>
      </c>
      <c r="DB186" s="323">
        <v>616000</v>
      </c>
      <c r="DC186" s="323">
        <v>788480</v>
      </c>
      <c r="DD186" s="323">
        <v>878416</v>
      </c>
    </row>
    <row r="187" spans="1:108" ht="12.9" customHeight="1">
      <c r="C187" s="21"/>
      <c r="E187" s="1643"/>
      <c r="F187" s="1293"/>
      <c r="G187" s="1293"/>
      <c r="H187" s="1293"/>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BN187" s="23" t="s">
        <v>1045</v>
      </c>
      <c r="BS187">
        <v>6</v>
      </c>
      <c r="BT187" t="s">
        <v>1046</v>
      </c>
      <c r="CB187" s="350" t="s">
        <v>1037</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1036</v>
      </c>
      <c r="CS187" s="321">
        <v>406666</v>
      </c>
      <c r="CT187" s="321">
        <v>468882</v>
      </c>
      <c r="CU187" s="321">
        <v>565600</v>
      </c>
      <c r="CV187" s="321">
        <v>723968</v>
      </c>
      <c r="CW187" s="321">
        <v>806546</v>
      </c>
      <c r="CX187" s="14"/>
      <c r="CY187" s="23" t="s">
        <v>1036</v>
      </c>
      <c r="CZ187" s="321">
        <v>406666</v>
      </c>
      <c r="DA187" s="321">
        <v>468882</v>
      </c>
      <c r="DB187" s="321">
        <v>565600</v>
      </c>
      <c r="DC187" s="321">
        <v>723968</v>
      </c>
      <c r="DD187" s="321">
        <v>806546</v>
      </c>
    </row>
    <row r="188" spans="1:108" ht="12.9" customHeight="1">
      <c r="C188" s="21"/>
      <c r="E188" s="1294"/>
      <c r="F188" s="1294"/>
      <c r="G188" s="1294"/>
      <c r="H188" s="1294"/>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BN188" s="23" t="s">
        <v>1047</v>
      </c>
      <c r="BS188">
        <v>7</v>
      </c>
      <c r="BT188" t="s">
        <v>1048</v>
      </c>
      <c r="CB188" s="350" t="s">
        <v>1041</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1040</v>
      </c>
      <c r="CS188" s="323">
        <v>402640</v>
      </c>
      <c r="CT188" s="323">
        <v>464240</v>
      </c>
      <c r="CU188" s="323">
        <v>560000</v>
      </c>
      <c r="CV188" s="323">
        <v>716800</v>
      </c>
      <c r="CW188" s="323">
        <v>798560</v>
      </c>
      <c r="CX188" s="14"/>
      <c r="CY188" s="23" t="s">
        <v>1040</v>
      </c>
      <c r="CZ188" s="323">
        <v>402640</v>
      </c>
      <c r="DA188" s="323">
        <v>464240</v>
      </c>
      <c r="DB188" s="323">
        <v>560000</v>
      </c>
      <c r="DC188" s="323">
        <v>716800</v>
      </c>
      <c r="DD188" s="323">
        <v>798560</v>
      </c>
    </row>
    <row r="189" spans="1:108" ht="12.9" customHeight="1">
      <c r="C189" s="21"/>
      <c r="D189" t="s">
        <v>1049</v>
      </c>
      <c r="I189" s="1393" t="s">
        <v>911</v>
      </c>
      <c r="J189" s="1294"/>
      <c r="K189" s="1294"/>
      <c r="L189" s="1294"/>
      <c r="M189" s="1294"/>
      <c r="N189" s="1294"/>
      <c r="O189" s="1294"/>
      <c r="P189" s="1294"/>
      <c r="Q189" t="s">
        <v>26</v>
      </c>
      <c r="T189" s="1389" t="s">
        <v>911</v>
      </c>
      <c r="U189" s="1294"/>
      <c r="V189" s="1294"/>
      <c r="W189" s="1294"/>
      <c r="X189" s="1294"/>
      <c r="Y189" s="1294"/>
      <c r="Z189" s="1294"/>
      <c r="AA189" s="1294"/>
      <c r="AB189" s="1294"/>
      <c r="AC189" s="1294"/>
      <c r="AD189" s="1294"/>
      <c r="AE189" s="1294"/>
      <c r="BC189" t="s">
        <v>444</v>
      </c>
      <c r="BH189" s="3" t="s">
        <v>935</v>
      </c>
      <c r="BN189" s="23" t="s">
        <v>1050</v>
      </c>
      <c r="BS189">
        <v>5</v>
      </c>
      <c r="BT189" t="s">
        <v>1051</v>
      </c>
      <c r="CB189" s="350" t="s">
        <v>1044</v>
      </c>
      <c r="CC189" s="464">
        <v>2962</v>
      </c>
      <c r="CD189" s="465">
        <v>3172</v>
      </c>
      <c r="CE189" s="464">
        <v>3806</v>
      </c>
      <c r="CF189" s="465">
        <v>4400</v>
      </c>
      <c r="CG189" s="465">
        <v>4906</v>
      </c>
      <c r="CH189" s="466">
        <v>5416</v>
      </c>
      <c r="CI189" s="34"/>
      <c r="CJ189" s="1035">
        <v>2352</v>
      </c>
      <c r="CK189" s="1035">
        <v>2454</v>
      </c>
      <c r="CL189" s="1035">
        <v>2903</v>
      </c>
      <c r="CM189" s="1035">
        <v>3927</v>
      </c>
      <c r="CN189" s="1035">
        <v>4693</v>
      </c>
      <c r="CR189" s="23" t="s">
        <v>1043</v>
      </c>
      <c r="CS189" s="321">
        <v>402065</v>
      </c>
      <c r="CT189" s="321">
        <v>463577</v>
      </c>
      <c r="CU189" s="321">
        <v>559200</v>
      </c>
      <c r="CV189" s="321">
        <v>715776</v>
      </c>
      <c r="CW189" s="321">
        <v>797419</v>
      </c>
      <c r="CX189" s="14"/>
      <c r="CY189" s="23" t="s">
        <v>1043</v>
      </c>
      <c r="CZ189" s="321">
        <v>402065</v>
      </c>
      <c r="DA189" s="321">
        <v>463577</v>
      </c>
      <c r="DB189" s="321">
        <v>559200</v>
      </c>
      <c r="DC189" s="321">
        <v>715776</v>
      </c>
      <c r="DD189" s="321">
        <v>797419</v>
      </c>
    </row>
    <row r="190" spans="1:108" ht="12.9" customHeight="1">
      <c r="C190" s="21"/>
      <c r="D190" t="s">
        <v>1052</v>
      </c>
      <c r="I190" s="1556" t="s">
        <v>2759</v>
      </c>
      <c r="J190" s="1374"/>
      <c r="K190" s="1374"/>
      <c r="L190" s="1374"/>
      <c r="M190" s="1374"/>
      <c r="N190" s="1374"/>
      <c r="O190" t="s">
        <v>1053</v>
      </c>
      <c r="T190" s="1501" t="s">
        <v>2740</v>
      </c>
      <c r="U190" s="1374"/>
      <c r="V190" s="1374"/>
      <c r="W190" s="1374"/>
      <c r="X190" s="1374"/>
      <c r="Y190" s="1374"/>
      <c r="Z190" s="1374"/>
      <c r="AA190" s="1374"/>
      <c r="AB190" s="1374"/>
      <c r="AC190" s="1374"/>
      <c r="AD190" s="1374"/>
      <c r="AE190" s="1374"/>
      <c r="BC190" t="s">
        <v>1054</v>
      </c>
      <c r="BH190" t="s">
        <v>1054</v>
      </c>
      <c r="BN190" s="23" t="s">
        <v>1055</v>
      </c>
      <c r="BS190">
        <v>6</v>
      </c>
      <c r="BT190" t="s">
        <v>1056</v>
      </c>
      <c r="CB190" s="350" t="s">
        <v>1046</v>
      </c>
      <c r="CC190" s="464">
        <v>2252</v>
      </c>
      <c r="CD190" s="465">
        <v>2412</v>
      </c>
      <c r="CE190" s="464">
        <v>2894</v>
      </c>
      <c r="CF190" s="465">
        <v>3342</v>
      </c>
      <c r="CG190" s="465">
        <v>3730</v>
      </c>
      <c r="CH190" s="466">
        <v>4116</v>
      </c>
      <c r="CI190" s="34"/>
      <c r="CJ190" s="1035">
        <v>1679</v>
      </c>
      <c r="CK190" s="1035">
        <v>1777</v>
      </c>
      <c r="CL190" s="1035">
        <v>2206</v>
      </c>
      <c r="CM190" s="1035">
        <v>2992</v>
      </c>
      <c r="CN190" s="1035">
        <v>3455</v>
      </c>
      <c r="CR190" s="23" t="s">
        <v>1045</v>
      </c>
      <c r="CS190" s="323">
        <v>360075</v>
      </c>
      <c r="CT190" s="323">
        <v>415163</v>
      </c>
      <c r="CU190" s="323">
        <v>500800</v>
      </c>
      <c r="CV190" s="323">
        <v>641024</v>
      </c>
      <c r="CW190" s="323">
        <v>714141</v>
      </c>
      <c r="CX190" s="14"/>
      <c r="CY190" s="23" t="s">
        <v>1045</v>
      </c>
      <c r="CZ190" s="323">
        <v>360075</v>
      </c>
      <c r="DA190" s="323">
        <v>415163</v>
      </c>
      <c r="DB190" s="323">
        <v>500800</v>
      </c>
      <c r="DC190" s="323">
        <v>641024</v>
      </c>
      <c r="DD190" s="323">
        <v>714141</v>
      </c>
    </row>
    <row r="191" spans="1:108" ht="12.9" customHeight="1">
      <c r="C191" s="21"/>
      <c r="D191" t="s">
        <v>1057</v>
      </c>
      <c r="N191" s="1643" t="s">
        <v>2741</v>
      </c>
      <c r="O191" s="1293"/>
      <c r="P191" s="1293"/>
      <c r="Q191" s="1293"/>
      <c r="R191" s="1293"/>
      <c r="S191" s="1293"/>
      <c r="T191" s="1293"/>
      <c r="U191" s="1293"/>
      <c r="V191" s="1293"/>
      <c r="W191" s="1293"/>
      <c r="X191" s="1293"/>
      <c r="Y191" s="1293"/>
      <c r="Z191" s="1293"/>
      <c r="AA191" s="1293"/>
      <c r="AB191" s="1293"/>
      <c r="AC191" s="1293"/>
      <c r="AD191" s="1293"/>
      <c r="AE191" s="1293"/>
      <c r="BC191" t="s">
        <v>1058</v>
      </c>
      <c r="BH191" t="s">
        <v>1058</v>
      </c>
      <c r="BN191" s="23" t="s">
        <v>1059</v>
      </c>
      <c r="BS191">
        <v>4</v>
      </c>
      <c r="BT191" t="s">
        <v>1060</v>
      </c>
      <c r="CB191" s="350" t="s">
        <v>1048</v>
      </c>
      <c r="CC191" s="464">
        <v>1670</v>
      </c>
      <c r="CD191" s="465">
        <v>1788</v>
      </c>
      <c r="CE191" s="464">
        <v>2144</v>
      </c>
      <c r="CF191" s="465">
        <v>2478</v>
      </c>
      <c r="CG191" s="465">
        <v>2764</v>
      </c>
      <c r="CH191" s="466">
        <v>3050</v>
      </c>
      <c r="CI191" s="34"/>
      <c r="CJ191" s="1035">
        <v>904</v>
      </c>
      <c r="CK191" s="1035">
        <v>1005</v>
      </c>
      <c r="CL191" s="1035">
        <v>1318</v>
      </c>
      <c r="CM191" s="1035">
        <v>1847</v>
      </c>
      <c r="CN191" s="1035">
        <v>1883</v>
      </c>
      <c r="CR191" s="23" t="s">
        <v>1047</v>
      </c>
      <c r="CS191" s="321">
        <v>402640</v>
      </c>
      <c r="CT191" s="321">
        <v>464240</v>
      </c>
      <c r="CU191" s="321">
        <v>560000</v>
      </c>
      <c r="CV191" s="321">
        <v>716800</v>
      </c>
      <c r="CW191" s="321">
        <v>798560</v>
      </c>
      <c r="CX191" s="14"/>
      <c r="CY191" s="23" t="s">
        <v>1047</v>
      </c>
      <c r="CZ191" s="321">
        <v>402640</v>
      </c>
      <c r="DA191" s="321">
        <v>464240</v>
      </c>
      <c r="DB191" s="321">
        <v>560000</v>
      </c>
      <c r="DC191" s="321">
        <v>716800</v>
      </c>
      <c r="DD191" s="321">
        <v>798560</v>
      </c>
    </row>
    <row r="192" spans="1:108" ht="12.9" customHeight="1">
      <c r="C192" s="21"/>
      <c r="M192" s="40"/>
      <c r="N192" s="1294"/>
      <c r="O192" s="1294"/>
      <c r="P192" s="1294"/>
      <c r="Q192" s="1294"/>
      <c r="R192" s="1294"/>
      <c r="S192" s="1294"/>
      <c r="T192" s="1294"/>
      <c r="U192" s="1294"/>
      <c r="V192" s="1294"/>
      <c r="W192" s="1294"/>
      <c r="X192" s="1294"/>
      <c r="Y192" s="1294"/>
      <c r="Z192" s="1294"/>
      <c r="AA192" s="1294"/>
      <c r="AB192" s="1294"/>
      <c r="AC192" s="1294"/>
      <c r="AD192" s="1294"/>
      <c r="AE192" s="1294"/>
      <c r="BC192" t="s">
        <v>1061</v>
      </c>
      <c r="BH192" s="3" t="s">
        <v>1062</v>
      </c>
      <c r="BN192" s="23" t="s">
        <v>1063</v>
      </c>
      <c r="BS192">
        <v>5</v>
      </c>
      <c r="BT192" t="s">
        <v>1064</v>
      </c>
      <c r="CB192" s="350" t="s">
        <v>1051</v>
      </c>
      <c r="CC192" s="464">
        <v>1960</v>
      </c>
      <c r="CD192" s="465">
        <v>2098</v>
      </c>
      <c r="CE192" s="464">
        <v>2516</v>
      </c>
      <c r="CF192" s="465">
        <v>2910</v>
      </c>
      <c r="CG192" s="465">
        <v>3244</v>
      </c>
      <c r="CH192" s="466">
        <v>3580</v>
      </c>
      <c r="CI192" s="34"/>
      <c r="CJ192" s="1035">
        <v>1776</v>
      </c>
      <c r="CK192" s="1035">
        <v>1852</v>
      </c>
      <c r="CL192" s="1035">
        <v>2306</v>
      </c>
      <c r="CM192" s="1035">
        <v>3079</v>
      </c>
      <c r="CN192" s="1035">
        <v>3745</v>
      </c>
      <c r="CR192" s="23" t="s">
        <v>1050</v>
      </c>
      <c r="CS192" s="323">
        <v>381933</v>
      </c>
      <c r="CT192" s="323">
        <v>440365</v>
      </c>
      <c r="CU192" s="323">
        <v>531200</v>
      </c>
      <c r="CV192" s="323">
        <v>679936</v>
      </c>
      <c r="CW192" s="323">
        <v>757491</v>
      </c>
      <c r="CX192" s="14"/>
      <c r="CY192" s="23" t="s">
        <v>1050</v>
      </c>
      <c r="CZ192" s="323">
        <v>381933</v>
      </c>
      <c r="DA192" s="323">
        <v>440365</v>
      </c>
      <c r="DB192" s="323">
        <v>531200</v>
      </c>
      <c r="DC192" s="323">
        <v>679936</v>
      </c>
      <c r="DD192" s="323">
        <v>757491</v>
      </c>
    </row>
    <row r="193" spans="1:108" ht="12.9" customHeight="1">
      <c r="C193" s="21"/>
      <c r="D193" t="s">
        <v>1065</v>
      </c>
      <c r="M193" s="40"/>
      <c r="N193" s="890"/>
      <c r="O193" s="890"/>
      <c r="P193" s="890"/>
      <c r="Q193" s="890"/>
      <c r="R193" s="890"/>
      <c r="S193" s="890"/>
      <c r="T193" s="1640" t="s">
        <v>1014</v>
      </c>
      <c r="U193" s="1294"/>
      <c r="V193" s="1294"/>
      <c r="W193" s="1294"/>
      <c r="X193" s="1294"/>
      <c r="Y193" s="1294"/>
      <c r="Z193" s="1294"/>
      <c r="AA193" s="1294"/>
      <c r="AB193" s="1294"/>
      <c r="AC193" s="1294"/>
      <c r="AD193" s="1294"/>
      <c r="AE193" s="1294"/>
      <c r="AF193" s="1294"/>
      <c r="AG193" s="1294"/>
      <c r="AH193" s="1294"/>
      <c r="AI193" s="1294"/>
      <c r="BC193" t="s">
        <v>1066</v>
      </c>
      <c r="BH193" s="3" t="s">
        <v>1067</v>
      </c>
      <c r="BN193" s="23" t="s">
        <v>1068</v>
      </c>
      <c r="BS193">
        <v>4</v>
      </c>
      <c r="BT193" t="s">
        <v>1069</v>
      </c>
      <c r="CB193" s="350" t="s">
        <v>1056</v>
      </c>
      <c r="CC193" s="464">
        <v>2252</v>
      </c>
      <c r="CD193" s="465">
        <v>2412</v>
      </c>
      <c r="CE193" s="464">
        <v>2894</v>
      </c>
      <c r="CF193" s="465">
        <v>3342</v>
      </c>
      <c r="CG193" s="465">
        <v>3730</v>
      </c>
      <c r="CH193" s="466">
        <v>4116</v>
      </c>
      <c r="CI193" s="34"/>
      <c r="CJ193" s="1035">
        <v>1679</v>
      </c>
      <c r="CK193" s="1035">
        <v>1777</v>
      </c>
      <c r="CL193" s="1035">
        <v>2206</v>
      </c>
      <c r="CM193" s="1035">
        <v>2992</v>
      </c>
      <c r="CN193" s="1035">
        <v>3455</v>
      </c>
      <c r="CR193" s="23" t="s">
        <v>1055</v>
      </c>
      <c r="CS193" s="321">
        <v>360075</v>
      </c>
      <c r="CT193" s="321">
        <v>415163</v>
      </c>
      <c r="CU193" s="321">
        <v>500800</v>
      </c>
      <c r="CV193" s="321">
        <v>641024</v>
      </c>
      <c r="CW193" s="321">
        <v>714141</v>
      </c>
      <c r="CX193" s="14"/>
      <c r="CY193" s="23" t="s">
        <v>1055</v>
      </c>
      <c r="CZ193" s="321">
        <v>360075</v>
      </c>
      <c r="DA193" s="321">
        <v>415163</v>
      </c>
      <c r="DB193" s="321">
        <v>500800</v>
      </c>
      <c r="DC193" s="321">
        <v>641024</v>
      </c>
      <c r="DD193" s="321">
        <v>714141</v>
      </c>
    </row>
    <row r="194" spans="1:108" ht="12.9" customHeight="1">
      <c r="C194" s="21"/>
      <c r="D194" s="3" t="s">
        <v>1070</v>
      </c>
      <c r="M194" s="40"/>
      <c r="N194" s="890"/>
      <c r="O194" s="890"/>
      <c r="P194" s="890"/>
      <c r="Q194" s="890"/>
      <c r="R194" s="890"/>
      <c r="S194" s="890"/>
      <c r="AH194" s="1401" t="s">
        <v>811</v>
      </c>
      <c r="AI194" s="1294"/>
      <c r="BC194" t="s">
        <v>1062</v>
      </c>
      <c r="BN194" s="23" t="s">
        <v>1071</v>
      </c>
      <c r="BS194">
        <v>2</v>
      </c>
      <c r="BT194" t="s">
        <v>1072</v>
      </c>
      <c r="CB194" s="350" t="s">
        <v>1060</v>
      </c>
      <c r="CC194" s="464">
        <v>2340</v>
      </c>
      <c r="CD194" s="465">
        <v>2506</v>
      </c>
      <c r="CE194" s="464">
        <v>3006</v>
      </c>
      <c r="CF194" s="465">
        <v>3472</v>
      </c>
      <c r="CG194" s="465">
        <v>3874</v>
      </c>
      <c r="CH194" s="466">
        <v>4276</v>
      </c>
      <c r="CI194" s="34"/>
      <c r="CJ194" s="1035">
        <v>1799</v>
      </c>
      <c r="CK194" s="1035">
        <v>1999</v>
      </c>
      <c r="CL194" s="1035">
        <v>2623</v>
      </c>
      <c r="CM194" s="1035">
        <v>3655</v>
      </c>
      <c r="CN194" s="1035">
        <v>4046</v>
      </c>
      <c r="CR194" s="23" t="s">
        <v>1059</v>
      </c>
      <c r="CS194" s="323">
        <v>402640</v>
      </c>
      <c r="CT194" s="323">
        <v>464240</v>
      </c>
      <c r="CU194" s="323">
        <v>560000</v>
      </c>
      <c r="CV194" s="323">
        <v>716800</v>
      </c>
      <c r="CW194" s="323">
        <v>798560</v>
      </c>
      <c r="CX194" s="14"/>
      <c r="CY194" s="23" t="s">
        <v>1059</v>
      </c>
      <c r="CZ194" s="323">
        <v>402640</v>
      </c>
      <c r="DA194" s="323">
        <v>464240</v>
      </c>
      <c r="DB194" s="323">
        <v>560000</v>
      </c>
      <c r="DC194" s="323">
        <v>716800</v>
      </c>
      <c r="DD194" s="323">
        <v>798560</v>
      </c>
    </row>
    <row r="195" spans="1:108" ht="12.9" customHeight="1">
      <c r="C195" s="21"/>
      <c r="D195" t="s">
        <v>1073</v>
      </c>
      <c r="T195" s="1401" t="s">
        <v>811</v>
      </c>
      <c r="U195" s="1294"/>
      <c r="W195" t="s">
        <v>1074</v>
      </c>
      <c r="AH195" s="1401">
        <v>37</v>
      </c>
      <c r="AI195" s="1294"/>
      <c r="BC195" t="s">
        <v>1075</v>
      </c>
      <c r="BN195" s="23" t="s">
        <v>1076</v>
      </c>
      <c r="BS195">
        <v>6</v>
      </c>
      <c r="BT195" t="s">
        <v>1077</v>
      </c>
      <c r="CB195" s="350" t="s">
        <v>1064</v>
      </c>
      <c r="CC195" s="464">
        <v>1960</v>
      </c>
      <c r="CD195" s="465">
        <v>2098</v>
      </c>
      <c r="CE195" s="464">
        <v>2516</v>
      </c>
      <c r="CF195" s="465">
        <v>2910</v>
      </c>
      <c r="CG195" s="465">
        <v>3244</v>
      </c>
      <c r="CH195" s="466">
        <v>3580</v>
      </c>
      <c r="CI195" s="34"/>
      <c r="CJ195" s="1035">
        <v>1776</v>
      </c>
      <c r="CK195" s="1035">
        <v>1852</v>
      </c>
      <c r="CL195" s="1035">
        <v>2306</v>
      </c>
      <c r="CM195" s="1035">
        <v>3079</v>
      </c>
      <c r="CN195" s="1035">
        <v>3745</v>
      </c>
      <c r="CR195" s="23" t="s">
        <v>1063</v>
      </c>
      <c r="CS195" s="321">
        <v>381933</v>
      </c>
      <c r="CT195" s="321">
        <v>440365</v>
      </c>
      <c r="CU195" s="321">
        <v>531200</v>
      </c>
      <c r="CV195" s="321">
        <v>679936</v>
      </c>
      <c r="CW195" s="321">
        <v>757491</v>
      </c>
      <c r="CX195" s="14"/>
      <c r="CY195" s="23" t="s">
        <v>1063</v>
      </c>
      <c r="CZ195" s="321">
        <v>381933</v>
      </c>
      <c r="DA195" s="321">
        <v>440365</v>
      </c>
      <c r="DB195" s="321">
        <v>531200</v>
      </c>
      <c r="DC195" s="321">
        <v>679936</v>
      </c>
      <c r="DD195" s="321">
        <v>757491</v>
      </c>
    </row>
    <row r="196" spans="1:108" ht="12.9" customHeight="1">
      <c r="C196" s="21"/>
      <c r="D196" t="s">
        <v>1078</v>
      </c>
      <c r="T196" s="1425" t="s">
        <v>969</v>
      </c>
      <c r="U196" s="1374"/>
      <c r="W196" t="s">
        <v>1079</v>
      </c>
      <c r="AH196" s="1401">
        <v>57</v>
      </c>
      <c r="AI196" s="1294"/>
      <c r="BN196" s="23" t="s">
        <v>1080</v>
      </c>
      <c r="BS196">
        <v>4</v>
      </c>
      <c r="BT196" t="s">
        <v>1081</v>
      </c>
      <c r="CB196" s="350" t="s">
        <v>1069</v>
      </c>
      <c r="CC196" s="464">
        <v>2894</v>
      </c>
      <c r="CD196" s="465">
        <v>3100</v>
      </c>
      <c r="CE196" s="464">
        <v>3722</v>
      </c>
      <c r="CF196" s="465">
        <v>4300</v>
      </c>
      <c r="CG196" s="465">
        <v>4796</v>
      </c>
      <c r="CH196" s="466">
        <v>5292</v>
      </c>
      <c r="CI196" s="34"/>
      <c r="CJ196" s="1035">
        <v>2145</v>
      </c>
      <c r="CK196" s="1035">
        <v>2328</v>
      </c>
      <c r="CL196" s="1035">
        <v>2881</v>
      </c>
      <c r="CM196" s="1035">
        <v>3852</v>
      </c>
      <c r="CN196" s="1035">
        <v>4690</v>
      </c>
      <c r="CR196" s="23" t="s">
        <v>1068</v>
      </c>
      <c r="CS196" s="323">
        <v>392286</v>
      </c>
      <c r="CT196" s="323">
        <v>452302</v>
      </c>
      <c r="CU196" s="323">
        <v>545600</v>
      </c>
      <c r="CV196" s="323">
        <v>698368</v>
      </c>
      <c r="CW196" s="323">
        <v>778026</v>
      </c>
      <c r="CX196" s="14"/>
      <c r="CY196" s="23" t="s">
        <v>1068</v>
      </c>
      <c r="CZ196" s="323">
        <v>392286</v>
      </c>
      <c r="DA196" s="323">
        <v>452302</v>
      </c>
      <c r="DB196" s="323">
        <v>545600</v>
      </c>
      <c r="DC196" s="323">
        <v>698368</v>
      </c>
      <c r="DD196" s="323">
        <v>778026</v>
      </c>
    </row>
    <row r="197" spans="1:108" ht="12.9" customHeight="1">
      <c r="C197" s="21"/>
      <c r="D197" s="3" t="s">
        <v>1082</v>
      </c>
      <c r="T197" s="1425" t="s">
        <v>969</v>
      </c>
      <c r="U197" s="1374"/>
      <c r="W197" t="s">
        <v>1083</v>
      </c>
      <c r="AH197" s="1401">
        <v>28</v>
      </c>
      <c r="AI197" s="1294"/>
      <c r="BC197" t="s">
        <v>444</v>
      </c>
      <c r="BN197" s="23" t="s">
        <v>1084</v>
      </c>
      <c r="BS197">
        <v>2</v>
      </c>
      <c r="BT197" t="s">
        <v>1085</v>
      </c>
      <c r="CB197" s="350" t="s">
        <v>1072</v>
      </c>
      <c r="CC197" s="464">
        <v>3384</v>
      </c>
      <c r="CD197" s="465">
        <v>3626</v>
      </c>
      <c r="CE197" s="464">
        <v>4352</v>
      </c>
      <c r="CF197" s="465">
        <v>5028</v>
      </c>
      <c r="CG197" s="465">
        <v>5610</v>
      </c>
      <c r="CH197" s="466">
        <v>6190</v>
      </c>
      <c r="CI197" s="34"/>
      <c r="CJ197" s="1035">
        <v>2275</v>
      </c>
      <c r="CK197" s="1035">
        <v>2780</v>
      </c>
      <c r="CL197" s="1035">
        <v>3318</v>
      </c>
      <c r="CM197" s="1035">
        <v>4138</v>
      </c>
      <c r="CN197" s="1035">
        <v>4399</v>
      </c>
      <c r="CR197" s="23" t="s">
        <v>1071</v>
      </c>
      <c r="CS197" s="321">
        <v>694266</v>
      </c>
      <c r="CT197" s="321">
        <v>800482</v>
      </c>
      <c r="CU197" s="321">
        <v>965600</v>
      </c>
      <c r="CV197" s="321">
        <v>1235968</v>
      </c>
      <c r="CW197" s="321">
        <v>1376946</v>
      </c>
      <c r="CX197" s="14"/>
      <c r="CY197" s="23" t="s">
        <v>1071</v>
      </c>
      <c r="CZ197" s="321">
        <v>694266</v>
      </c>
      <c r="DA197" s="321">
        <v>800482</v>
      </c>
      <c r="DB197" s="321">
        <v>965600</v>
      </c>
      <c r="DC197" s="321">
        <v>1235968</v>
      </c>
      <c r="DD197" s="321">
        <v>1376946</v>
      </c>
    </row>
    <row r="198" spans="1:108" s="14" customFormat="1" ht="12.9" customHeight="1">
      <c r="C198" s="21"/>
      <c r="D198" s="3" t="s">
        <v>1086</v>
      </c>
      <c r="T198" s="1425">
        <v>2</v>
      </c>
      <c r="U198" s="1374"/>
      <c r="X198" s="1546" t="s">
        <v>1087</v>
      </c>
      <c r="Y198" s="1536"/>
      <c r="Z198" s="1536"/>
      <c r="AA198" s="1536"/>
      <c r="AB198" s="1536"/>
      <c r="AC198" s="1536"/>
      <c r="AD198" s="1536"/>
      <c r="AE198" s="1536"/>
      <c r="AF198" s="1536"/>
      <c r="AG198" s="1536"/>
      <c r="AH198" s="1536"/>
      <c r="AI198" s="1536"/>
      <c r="AJ198" s="1536"/>
      <c r="AK198" s="1536"/>
      <c r="AL198" s="1536"/>
      <c r="AM198" s="1536"/>
      <c r="AN198" s="1536"/>
      <c r="AO198" s="1536"/>
      <c r="AP198" s="1536"/>
      <c r="AQ198" s="1536"/>
      <c r="AR198" s="1536"/>
      <c r="AS198" s="1536"/>
      <c r="AT198" s="1536"/>
      <c r="AZ198" s="30"/>
      <c r="BA198" s="30"/>
      <c r="BC198" s="14" t="s">
        <v>935</v>
      </c>
      <c r="BN198" s="23" t="s">
        <v>1088</v>
      </c>
      <c r="BS198">
        <v>4</v>
      </c>
      <c r="BT198" t="s">
        <v>1089</v>
      </c>
      <c r="BV198" s="31"/>
      <c r="CB198" s="350" t="s">
        <v>1077</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1076</v>
      </c>
      <c r="CS198" s="323">
        <v>323262</v>
      </c>
      <c r="CT198" s="323">
        <v>372718</v>
      </c>
      <c r="CU198" s="323">
        <v>449600</v>
      </c>
      <c r="CV198" s="323">
        <v>575488</v>
      </c>
      <c r="CW198" s="323">
        <v>641130</v>
      </c>
      <c r="CY198" s="23" t="s">
        <v>1076</v>
      </c>
      <c r="CZ198" s="323">
        <v>323262</v>
      </c>
      <c r="DA198" s="323">
        <v>372718</v>
      </c>
      <c r="DB198" s="323">
        <v>449600</v>
      </c>
      <c r="DC198" s="323">
        <v>575488</v>
      </c>
      <c r="DD198" s="323">
        <v>641130</v>
      </c>
    </row>
    <row r="199" spans="1:108" s="14" customFormat="1" ht="12.9" customHeight="1">
      <c r="C199" s="21"/>
      <c r="D199" s="118" t="s">
        <v>1090</v>
      </c>
      <c r="T199" s="1401" t="s">
        <v>811</v>
      </c>
      <c r="U199" s="1294"/>
      <c r="X199" s="1536"/>
      <c r="Y199" s="1536"/>
      <c r="Z199" s="1536"/>
      <c r="AA199" s="1536"/>
      <c r="AB199" s="1536"/>
      <c r="AC199" s="1536"/>
      <c r="AD199" s="1536"/>
      <c r="AE199" s="1536"/>
      <c r="AF199" s="1536"/>
      <c r="AG199" s="1536"/>
      <c r="AH199" s="1536"/>
      <c r="AI199" s="1536"/>
      <c r="AJ199" s="1536"/>
      <c r="AK199" s="1536"/>
      <c r="AL199" s="1536"/>
      <c r="AM199" s="1536"/>
      <c r="AN199" s="1536"/>
      <c r="AO199" s="1536"/>
      <c r="AP199" s="1536"/>
      <c r="AQ199" s="1536"/>
      <c r="AR199" s="1536"/>
      <c r="AS199" s="1536"/>
      <c r="AT199" s="1536"/>
      <c r="AZ199" s="30"/>
      <c r="BA199" s="30"/>
      <c r="BC199" t="s">
        <v>923</v>
      </c>
      <c r="BN199" s="23" t="s">
        <v>1091</v>
      </c>
      <c r="BS199">
        <v>2</v>
      </c>
      <c r="BT199" s="32" t="s">
        <v>1092</v>
      </c>
      <c r="BV199" s="31"/>
      <c r="CB199" s="350" t="s">
        <v>1081</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1080</v>
      </c>
      <c r="CS199" s="321">
        <v>442904</v>
      </c>
      <c r="CT199" s="321">
        <v>510664</v>
      </c>
      <c r="CU199" s="321">
        <v>616000</v>
      </c>
      <c r="CV199" s="321">
        <v>788480</v>
      </c>
      <c r="CW199" s="321">
        <v>878416</v>
      </c>
      <c r="CY199" s="23" t="s">
        <v>1080</v>
      </c>
      <c r="CZ199" s="321">
        <v>442904</v>
      </c>
      <c r="DA199" s="321">
        <v>510664</v>
      </c>
      <c r="DB199" s="321">
        <v>616000</v>
      </c>
      <c r="DC199" s="321">
        <v>788480</v>
      </c>
      <c r="DD199" s="321">
        <v>878416</v>
      </c>
    </row>
    <row r="200" spans="1:108" s="14" customFormat="1" ht="12.9" customHeight="1">
      <c r="C200" s="21"/>
      <c r="D200" s="14" t="s">
        <v>1093</v>
      </c>
      <c r="T200" s="1401" t="s">
        <v>811</v>
      </c>
      <c r="U200" s="1294"/>
      <c r="AB200" s="507" t="s">
        <v>1094</v>
      </c>
      <c r="AH200" s="1"/>
      <c r="AZ200" s="30"/>
      <c r="BA200" s="30"/>
      <c r="BC200" s="3" t="s">
        <v>1095</v>
      </c>
      <c r="BD200" s="436"/>
      <c r="BN200" s="23" t="s">
        <v>1096</v>
      </c>
      <c r="BS200">
        <v>2</v>
      </c>
      <c r="BT200" s="32" t="s">
        <v>1097</v>
      </c>
      <c r="CB200" s="350" t="s">
        <v>1085</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1084</v>
      </c>
      <c r="CS200" s="322">
        <v>532060</v>
      </c>
      <c r="CT200" s="322">
        <v>613460</v>
      </c>
      <c r="CU200" s="323">
        <v>740000</v>
      </c>
      <c r="CV200" s="322">
        <v>947200</v>
      </c>
      <c r="CW200" s="322">
        <v>1055240</v>
      </c>
      <c r="CY200" s="23" t="s">
        <v>1084</v>
      </c>
      <c r="CZ200" s="322">
        <v>532060</v>
      </c>
      <c r="DA200" s="322">
        <v>613460</v>
      </c>
      <c r="DB200" s="322">
        <v>740000</v>
      </c>
      <c r="DC200" s="322">
        <v>947200</v>
      </c>
      <c r="DD200" s="322">
        <v>1055240</v>
      </c>
    </row>
    <row r="201" spans="1:108" s="14" customFormat="1" ht="12.9" customHeight="1">
      <c r="C201" s="21"/>
      <c r="E201" s="3" t="s">
        <v>1098</v>
      </c>
      <c r="AB201" s="507" t="s">
        <v>1099</v>
      </c>
      <c r="AH201" s="1"/>
      <c r="AZ201" s="30"/>
      <c r="BA201" s="30"/>
      <c r="BC201" s="3" t="s">
        <v>1100</v>
      </c>
      <c r="BD201" s="436"/>
      <c r="BN201" s="23" t="s">
        <v>1101</v>
      </c>
      <c r="BO201" s="31"/>
      <c r="BP201" s="32"/>
      <c r="BQ201" s="32"/>
      <c r="BR201" s="32"/>
      <c r="BS201">
        <v>6</v>
      </c>
      <c r="BT201" s="32" t="s">
        <v>1102</v>
      </c>
      <c r="CB201" s="350" t="s">
        <v>1089</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1088</v>
      </c>
      <c r="CS201" s="321">
        <v>442904</v>
      </c>
      <c r="CT201" s="321">
        <v>510664</v>
      </c>
      <c r="CU201" s="321">
        <v>616000</v>
      </c>
      <c r="CV201" s="321">
        <v>788480</v>
      </c>
      <c r="CW201" s="321">
        <v>878416</v>
      </c>
      <c r="CY201" s="23" t="s">
        <v>1088</v>
      </c>
      <c r="CZ201" s="321">
        <v>442904</v>
      </c>
      <c r="DA201" s="321">
        <v>510664</v>
      </c>
      <c r="DB201" s="321">
        <v>616000</v>
      </c>
      <c r="DC201" s="321">
        <v>788480</v>
      </c>
      <c r="DD201" s="321">
        <v>878416</v>
      </c>
    </row>
    <row r="202" spans="1:108" ht="12.9" customHeight="1">
      <c r="C202" s="21"/>
      <c r="AE202" s="8"/>
      <c r="BC202" t="s">
        <v>1103</v>
      </c>
      <c r="BD202" s="436"/>
      <c r="BN202" s="23" t="s">
        <v>1104</v>
      </c>
      <c r="BO202" s="14"/>
      <c r="BP202" s="32"/>
      <c r="BQ202" s="32"/>
      <c r="BR202" s="32"/>
      <c r="BS202">
        <v>7</v>
      </c>
      <c r="BT202" s="32" t="s">
        <v>1105</v>
      </c>
      <c r="CB202" s="350" t="s">
        <v>1092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1091</v>
      </c>
      <c r="CS202" s="322">
        <v>532060</v>
      </c>
      <c r="CT202" s="322">
        <v>613460</v>
      </c>
      <c r="CU202" s="322">
        <v>740000</v>
      </c>
      <c r="CV202" s="322">
        <v>947200</v>
      </c>
      <c r="CW202" s="322">
        <v>1055240</v>
      </c>
      <c r="CX202" s="14"/>
      <c r="CY202" s="23" t="s">
        <v>1091</v>
      </c>
      <c r="CZ202" s="322">
        <v>532060</v>
      </c>
      <c r="DA202" s="322">
        <v>613460</v>
      </c>
      <c r="DB202" s="322">
        <v>740000</v>
      </c>
      <c r="DC202" s="322">
        <v>947200</v>
      </c>
      <c r="DD202" s="322">
        <v>1055240</v>
      </c>
    </row>
    <row r="203" spans="1:108" ht="12.9" customHeight="1">
      <c r="A203" s="2" t="s">
        <v>1106</v>
      </c>
      <c r="C203" s="2" t="s">
        <v>1107</v>
      </c>
      <c r="BC203" t="s">
        <v>1108</v>
      </c>
      <c r="BN203" s="23" t="s">
        <v>1109</v>
      </c>
      <c r="BO203" s="14"/>
      <c r="BP203" s="32"/>
      <c r="BQ203" s="32"/>
      <c r="BR203" s="32"/>
      <c r="BS203">
        <v>7</v>
      </c>
      <c r="BT203" s="32" t="s">
        <v>1110</v>
      </c>
      <c r="CB203" s="350" t="s">
        <v>1097</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1096</v>
      </c>
      <c r="CS203" s="321">
        <v>442904</v>
      </c>
      <c r="CT203" s="321">
        <v>510664</v>
      </c>
      <c r="CU203" s="321">
        <v>616000</v>
      </c>
      <c r="CV203" s="321">
        <v>788480</v>
      </c>
      <c r="CW203" s="321">
        <v>878416</v>
      </c>
      <c r="CX203" s="14"/>
      <c r="CY203" s="23" t="s">
        <v>1096</v>
      </c>
      <c r="CZ203" s="321">
        <v>442904</v>
      </c>
      <c r="DA203" s="321">
        <v>510664</v>
      </c>
      <c r="DB203" s="321">
        <v>616000</v>
      </c>
      <c r="DC203" s="321">
        <v>788480</v>
      </c>
      <c r="DD203" s="321">
        <v>878416</v>
      </c>
    </row>
    <row r="204" spans="1:108" ht="12.9" customHeight="1">
      <c r="D204" s="1421" t="s">
        <v>36</v>
      </c>
      <c r="E204" s="1405"/>
      <c r="F204" s="1405"/>
      <c r="G204" s="1405"/>
      <c r="H204" s="1405"/>
      <c r="I204" s="1405"/>
      <c r="J204" s="1405"/>
      <c r="K204" s="1405"/>
      <c r="L204" s="1405"/>
      <c r="M204" s="1405"/>
      <c r="P204" s="1661">
        <f>M26</f>
        <v>1269461</v>
      </c>
      <c r="Q204" s="1405"/>
      <c r="R204" s="1405"/>
      <c r="S204" s="1405"/>
      <c r="T204" s="1405"/>
      <c r="U204" s="1405"/>
      <c r="BC204" t="s">
        <v>1111</v>
      </c>
      <c r="BN204" s="23" t="s">
        <v>1112</v>
      </c>
      <c r="BS204">
        <v>6</v>
      </c>
      <c r="BT204" s="32" t="s">
        <v>1113</v>
      </c>
      <c r="BU204" s="14"/>
      <c r="CB204" s="350" t="s">
        <v>1102</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1101</v>
      </c>
      <c r="CS204" s="323">
        <v>369278</v>
      </c>
      <c r="CT204" s="323">
        <v>425774</v>
      </c>
      <c r="CU204" s="323">
        <v>513600</v>
      </c>
      <c r="CV204" s="323">
        <v>657408</v>
      </c>
      <c r="CW204" s="323">
        <v>732394</v>
      </c>
      <c r="CX204" s="14"/>
      <c r="CY204" s="23" t="s">
        <v>1101</v>
      </c>
      <c r="CZ204" s="323">
        <v>369278</v>
      </c>
      <c r="DA204" s="323">
        <v>425774</v>
      </c>
      <c r="DB204" s="323">
        <v>513600</v>
      </c>
      <c r="DC204" s="323">
        <v>657408</v>
      </c>
      <c r="DD204" s="323">
        <v>732394</v>
      </c>
    </row>
    <row r="205" spans="1:108" ht="12.9" customHeight="1">
      <c r="C205" s="21"/>
      <c r="D205" s="1588" t="s">
        <v>1114</v>
      </c>
      <c r="E205" s="1405"/>
      <c r="F205" s="1405"/>
      <c r="G205" s="1405"/>
      <c r="H205" s="1405"/>
      <c r="I205" s="1405"/>
      <c r="J205" s="1405"/>
      <c r="K205" s="1405"/>
      <c r="L205" s="1405"/>
      <c r="M205" s="1405"/>
      <c r="P205" s="1629">
        <f>M27</f>
        <v>0</v>
      </c>
      <c r="Q205" s="1405"/>
      <c r="R205" s="1405"/>
      <c r="S205" s="1405"/>
      <c r="T205" s="1405"/>
      <c r="U205" s="1405"/>
      <c r="V205" s="28"/>
      <c r="W205" s="3" t="s">
        <v>1115</v>
      </c>
      <c r="Z205" s="1508" t="s">
        <v>1116</v>
      </c>
      <c r="AA205" s="1294"/>
      <c r="AB205" s="1294"/>
      <c r="AC205" s="1294"/>
      <c r="AD205" s="1294"/>
      <c r="AE205" s="1294"/>
      <c r="AF205" s="1294"/>
      <c r="AG205" s="1294"/>
      <c r="AH205" s="1294"/>
      <c r="AI205" s="1294"/>
      <c r="AJ205" s="1294"/>
      <c r="AK205" s="1294"/>
      <c r="AL205" s="1294"/>
      <c r="AM205" s="1294"/>
      <c r="AN205" s="1294"/>
      <c r="AP205" s="1437"/>
      <c r="AQ205" s="1298"/>
      <c r="BC205" t="s">
        <v>1117</v>
      </c>
      <c r="BN205" s="23" t="s">
        <v>1118</v>
      </c>
      <c r="BS205">
        <v>4</v>
      </c>
      <c r="BT205" s="32" t="s">
        <v>1119</v>
      </c>
      <c r="BU205" s="14"/>
      <c r="CB205" s="350" t="s">
        <v>1105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1104</v>
      </c>
      <c r="CS205" s="321">
        <v>402640</v>
      </c>
      <c r="CT205" s="321">
        <v>464240</v>
      </c>
      <c r="CU205" s="321">
        <v>560000</v>
      </c>
      <c r="CV205" s="321">
        <v>716800</v>
      </c>
      <c r="CW205" s="321">
        <v>798560</v>
      </c>
      <c r="CX205" s="14"/>
      <c r="CY205" s="23" t="s">
        <v>1104</v>
      </c>
      <c r="CZ205" s="321">
        <v>402640</v>
      </c>
      <c r="DA205" s="321">
        <v>464240</v>
      </c>
      <c r="DB205" s="321">
        <v>560000</v>
      </c>
      <c r="DC205" s="321">
        <v>716800</v>
      </c>
      <c r="DD205" s="321">
        <v>798560</v>
      </c>
    </row>
    <row r="206" spans="1:108" ht="12.9" customHeight="1">
      <c r="D206" s="29"/>
      <c r="E206" s="29"/>
      <c r="F206" s="29"/>
      <c r="G206" s="29"/>
      <c r="H206" s="29"/>
      <c r="I206" s="29"/>
      <c r="J206" s="29"/>
      <c r="K206" s="29"/>
      <c r="L206" s="29"/>
      <c r="M206" s="29"/>
      <c r="N206" s="29"/>
      <c r="O206" s="29"/>
      <c r="P206" s="29"/>
      <c r="BC206" t="s">
        <v>1120</v>
      </c>
      <c r="BN206" s="23" t="s">
        <v>1121</v>
      </c>
      <c r="BS206">
        <v>5</v>
      </c>
      <c r="BT206" s="32" t="s">
        <v>1122</v>
      </c>
      <c r="BU206" s="14"/>
      <c r="CB206" s="350" t="s">
        <v>1110</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1109</v>
      </c>
      <c r="CS206" s="323">
        <v>402640</v>
      </c>
      <c r="CT206" s="323">
        <v>464240</v>
      </c>
      <c r="CU206" s="323">
        <v>560000</v>
      </c>
      <c r="CV206" s="323">
        <v>716800</v>
      </c>
      <c r="CW206" s="323">
        <v>798560</v>
      </c>
      <c r="CX206" s="14"/>
      <c r="CY206" s="23" t="s">
        <v>1109</v>
      </c>
      <c r="CZ206" s="323">
        <v>402640</v>
      </c>
      <c r="DA206" s="323">
        <v>464240</v>
      </c>
      <c r="DB206" s="323">
        <v>560000</v>
      </c>
      <c r="DC206" s="323">
        <v>716800</v>
      </c>
      <c r="DD206" s="323">
        <v>798560</v>
      </c>
    </row>
    <row r="207" spans="1:108" ht="12.9" customHeight="1">
      <c r="A207" s="2" t="s">
        <v>1123</v>
      </c>
      <c r="C207" s="2" t="s">
        <v>1124</v>
      </c>
      <c r="BC207" s="437" t="s">
        <v>1125</v>
      </c>
      <c r="BN207" s="23" t="s">
        <v>1126</v>
      </c>
      <c r="BS207">
        <v>6</v>
      </c>
      <c r="BT207" s="32" t="s">
        <v>1127</v>
      </c>
      <c r="CB207" s="350" t="s">
        <v>1113</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1112</v>
      </c>
      <c r="CS207" s="321">
        <v>406666</v>
      </c>
      <c r="CT207" s="321">
        <v>468882</v>
      </c>
      <c r="CU207" s="321">
        <v>565600</v>
      </c>
      <c r="CV207" s="321">
        <v>723968</v>
      </c>
      <c r="CW207" s="321">
        <v>806546</v>
      </c>
      <c r="CX207" s="14"/>
      <c r="CY207" s="23" t="s">
        <v>1112</v>
      </c>
      <c r="CZ207" s="321">
        <v>406666</v>
      </c>
      <c r="DA207" s="321">
        <v>468882</v>
      </c>
      <c r="DB207" s="321">
        <v>565600</v>
      </c>
      <c r="DC207" s="321">
        <v>723968</v>
      </c>
      <c r="DD207" s="321">
        <v>806546</v>
      </c>
    </row>
    <row r="208" spans="1:108" ht="12.9" customHeight="1">
      <c r="C208" s="21"/>
      <c r="D208" s="1407" t="s">
        <v>1128</v>
      </c>
      <c r="E208" s="1294"/>
      <c r="F208" s="1294"/>
      <c r="G208" s="1294"/>
      <c r="H208" s="1294"/>
      <c r="I208" s="1294"/>
      <c r="J208" s="1294"/>
      <c r="K208" s="1294"/>
      <c r="L208" s="1294"/>
      <c r="M208" s="1294"/>
      <c r="BC208" s="3" t="s">
        <v>1129</v>
      </c>
      <c r="BN208" s="23" t="s">
        <v>1130</v>
      </c>
      <c r="BS208">
        <v>7</v>
      </c>
      <c r="BT208" s="32" t="s">
        <v>1131</v>
      </c>
      <c r="CB208" s="350" t="s">
        <v>1119</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1118</v>
      </c>
      <c r="CS208" s="323">
        <v>406666</v>
      </c>
      <c r="CT208" s="323">
        <v>468882</v>
      </c>
      <c r="CU208" s="323">
        <v>565600</v>
      </c>
      <c r="CV208" s="323">
        <v>723968</v>
      </c>
      <c r="CW208" s="323">
        <v>806546</v>
      </c>
      <c r="CX208" s="14"/>
      <c r="CY208" s="23" t="s">
        <v>1118</v>
      </c>
      <c r="CZ208" s="323">
        <v>406666</v>
      </c>
      <c r="DA208" s="323">
        <v>468882</v>
      </c>
      <c r="DB208" s="323">
        <v>565600</v>
      </c>
      <c r="DC208" s="323">
        <v>723968</v>
      </c>
      <c r="DD208" s="323">
        <v>806546</v>
      </c>
    </row>
    <row r="209" spans="1:108" ht="12.9" customHeight="1">
      <c r="BC209" t="s">
        <v>1132</v>
      </c>
      <c r="BN209" s="23" t="s">
        <v>1133</v>
      </c>
      <c r="BS209">
        <v>7</v>
      </c>
      <c r="BT209" s="32" t="s">
        <v>1134</v>
      </c>
      <c r="CB209" s="350" t="s">
        <v>1122</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1121</v>
      </c>
      <c r="CS209" s="321">
        <v>323262</v>
      </c>
      <c r="CT209" s="321">
        <v>372718</v>
      </c>
      <c r="CU209" s="321">
        <v>449600</v>
      </c>
      <c r="CV209" s="321">
        <v>575488</v>
      </c>
      <c r="CW209" s="321">
        <v>641130</v>
      </c>
      <c r="CX209" s="14"/>
      <c r="CY209" s="23" t="s">
        <v>1121</v>
      </c>
      <c r="CZ209" s="321">
        <v>323262</v>
      </c>
      <c r="DA209" s="321">
        <v>372718</v>
      </c>
      <c r="DB209" s="321">
        <v>449600</v>
      </c>
      <c r="DC209" s="321">
        <v>575488</v>
      </c>
      <c r="DD209" s="321">
        <v>641130</v>
      </c>
    </row>
    <row r="210" spans="1:108" ht="12.9" customHeight="1">
      <c r="A210" s="2" t="s">
        <v>1135</v>
      </c>
      <c r="C210" s="2" t="s">
        <v>1136</v>
      </c>
      <c r="BC210" t="s">
        <v>1137</v>
      </c>
      <c r="BN210" s="23" t="s">
        <v>1138</v>
      </c>
      <c r="BS210">
        <v>5</v>
      </c>
      <c r="BT210" s="32" t="s">
        <v>1139</v>
      </c>
      <c r="CB210" s="350" t="s">
        <v>1127</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1126</v>
      </c>
      <c r="CS210" s="323">
        <v>360075</v>
      </c>
      <c r="CT210" s="323">
        <v>415163</v>
      </c>
      <c r="CU210" s="323">
        <v>500800</v>
      </c>
      <c r="CV210" s="323">
        <v>641024</v>
      </c>
      <c r="CW210" s="323">
        <v>714141</v>
      </c>
      <c r="CX210" s="14"/>
      <c r="CY210" s="23" t="s">
        <v>1126</v>
      </c>
      <c r="CZ210" s="323">
        <v>360075</v>
      </c>
      <c r="DA210" s="323">
        <v>415163</v>
      </c>
      <c r="DB210" s="323">
        <v>500800</v>
      </c>
      <c r="DC210" s="323">
        <v>641024</v>
      </c>
      <c r="DD210" s="323">
        <v>714141</v>
      </c>
    </row>
    <row r="211" spans="1:108" ht="12.9" customHeight="1">
      <c r="C211" s="21"/>
      <c r="D211" s="1407" t="s">
        <v>1054</v>
      </c>
      <c r="E211" s="1294"/>
      <c r="F211" s="1294"/>
      <c r="G211" s="1294"/>
      <c r="H211" s="1294"/>
      <c r="I211" s="1294"/>
      <c r="J211" s="1294"/>
      <c r="K211" s="1294"/>
      <c r="L211" s="1294"/>
      <c r="M211" s="1294"/>
      <c r="BN211" s="23" t="s">
        <v>1140</v>
      </c>
      <c r="BS211">
        <v>7</v>
      </c>
      <c r="BT211" s="32" t="s">
        <v>1141</v>
      </c>
      <c r="CB211" s="350" t="s">
        <v>1131</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1130</v>
      </c>
      <c r="CS211" s="321">
        <v>402640</v>
      </c>
      <c r="CT211" s="321">
        <v>464240</v>
      </c>
      <c r="CU211" s="321">
        <v>560000</v>
      </c>
      <c r="CV211" s="321">
        <v>716800</v>
      </c>
      <c r="CW211" s="321">
        <v>798560</v>
      </c>
      <c r="CX211" s="14"/>
      <c r="CY211" s="23" t="s">
        <v>1130</v>
      </c>
      <c r="CZ211" s="321">
        <v>402640</v>
      </c>
      <c r="DA211" s="321">
        <v>464240</v>
      </c>
      <c r="DB211" s="321">
        <v>560000</v>
      </c>
      <c r="DC211" s="321">
        <v>716800</v>
      </c>
      <c r="DD211" s="321">
        <v>798560</v>
      </c>
    </row>
    <row r="212" spans="1:108" ht="12.9" customHeight="1">
      <c r="C212" s="21"/>
      <c r="D212" s="3" t="s">
        <v>1142</v>
      </c>
      <c r="Q212" s="1401">
        <v>0</v>
      </c>
      <c r="R212" s="1294"/>
      <c r="T212" s="1513">
        <f>IFERROR(Q212/AG449,0)</f>
        <v>0</v>
      </c>
      <c r="U212" s="1264"/>
      <c r="BC212" t="s">
        <v>444</v>
      </c>
      <c r="BI212" t="s">
        <v>1116</v>
      </c>
      <c r="BN212" s="23" t="s">
        <v>1143</v>
      </c>
      <c r="BS212">
        <v>4</v>
      </c>
      <c r="BT212" s="32" t="s">
        <v>1144</v>
      </c>
      <c r="CB212" s="350" t="s">
        <v>1134</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1133</v>
      </c>
      <c r="CS212" s="323">
        <v>402640</v>
      </c>
      <c r="CT212" s="323">
        <v>464240</v>
      </c>
      <c r="CU212" s="323">
        <v>560000</v>
      </c>
      <c r="CV212" s="323">
        <v>716800</v>
      </c>
      <c r="CW212" s="323">
        <v>798560</v>
      </c>
      <c r="CX212" s="14"/>
      <c r="CY212" s="23" t="s">
        <v>1133</v>
      </c>
      <c r="CZ212" s="323">
        <v>402640</v>
      </c>
      <c r="DA212" s="323">
        <v>464240</v>
      </c>
      <c r="DB212" s="323">
        <v>560000</v>
      </c>
      <c r="DC212" s="323">
        <v>716800</v>
      </c>
      <c r="DD212" s="323">
        <v>798560</v>
      </c>
    </row>
    <row r="213" spans="1:108" ht="12.9" customHeight="1">
      <c r="D213" s="1137" t="s">
        <v>1145</v>
      </c>
      <c r="BC213" t="s">
        <v>1146</v>
      </c>
      <c r="BI213" s="3" t="s">
        <v>1147</v>
      </c>
      <c r="BN213" s="23" t="s">
        <v>1148</v>
      </c>
      <c r="BS213">
        <v>6</v>
      </c>
      <c r="BT213" s="32" t="s">
        <v>1149</v>
      </c>
      <c r="CB213" s="350" t="s">
        <v>1139</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1138</v>
      </c>
      <c r="CS213" s="321">
        <v>323262</v>
      </c>
      <c r="CT213" s="321">
        <v>372718</v>
      </c>
      <c r="CU213" s="321">
        <v>449600</v>
      </c>
      <c r="CV213" s="321">
        <v>575488</v>
      </c>
      <c r="CW213" s="321">
        <v>641130</v>
      </c>
      <c r="CX213" s="14"/>
      <c r="CY213" s="23" t="s">
        <v>1138</v>
      </c>
      <c r="CZ213" s="321">
        <v>323262</v>
      </c>
      <c r="DA213" s="321">
        <v>372718</v>
      </c>
      <c r="DB213" s="321">
        <v>449600</v>
      </c>
      <c r="DC213" s="321">
        <v>575488</v>
      </c>
      <c r="DD213" s="321">
        <v>641130</v>
      </c>
    </row>
    <row r="214" spans="1:108" ht="12.9" customHeight="1">
      <c r="D214" s="1597" t="s">
        <v>935</v>
      </c>
      <c r="E214" s="1293"/>
      <c r="F214" s="1293"/>
      <c r="G214" s="1293"/>
      <c r="H214" s="1293"/>
      <c r="I214" s="1293"/>
      <c r="J214" s="1293"/>
      <c r="K214" s="1293"/>
      <c r="L214" s="1293"/>
      <c r="M214" s="1293"/>
      <c r="N214" s="1293"/>
      <c r="O214" s="1293"/>
      <c r="P214" s="1293"/>
      <c r="Q214" s="1293"/>
      <c r="R214" s="1293"/>
      <c r="S214" s="1293"/>
      <c r="T214" s="1293"/>
      <c r="U214" s="1293"/>
      <c r="V214" s="1293"/>
      <c r="W214" s="1293"/>
      <c r="X214" s="1293"/>
      <c r="Y214" s="1293"/>
      <c r="Z214" s="1293"/>
      <c r="AU214" s="21"/>
      <c r="AV214" s="21"/>
      <c r="AW214" s="21"/>
      <c r="AX214" s="21"/>
      <c r="AY214" s="21"/>
      <c r="BC214" t="s">
        <v>1150</v>
      </c>
      <c r="BI214" s="3" t="s">
        <v>1151</v>
      </c>
      <c r="BN214" s="23" t="s">
        <v>1152</v>
      </c>
      <c r="BS214">
        <v>6</v>
      </c>
      <c r="BT214" s="32" t="s">
        <v>1153</v>
      </c>
      <c r="CB214" s="350" t="s">
        <v>1141</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1140</v>
      </c>
      <c r="CS214" s="323">
        <v>402640</v>
      </c>
      <c r="CT214" s="323">
        <v>464240</v>
      </c>
      <c r="CU214" s="323">
        <v>560000</v>
      </c>
      <c r="CV214" s="323">
        <v>716800</v>
      </c>
      <c r="CW214" s="323">
        <v>798560</v>
      </c>
      <c r="CX214" s="14"/>
      <c r="CY214" s="23" t="s">
        <v>1140</v>
      </c>
      <c r="CZ214" s="323">
        <v>402640</v>
      </c>
      <c r="DA214" s="323">
        <v>464240</v>
      </c>
      <c r="DB214" s="323">
        <v>560000</v>
      </c>
      <c r="DC214" s="323">
        <v>716800</v>
      </c>
      <c r="DD214" s="323">
        <v>798560</v>
      </c>
    </row>
    <row r="215" spans="1:108" ht="12.9" customHeight="1">
      <c r="D215" s="3" t="s">
        <v>1154</v>
      </c>
      <c r="Z215" s="40"/>
      <c r="AB215" s="1524"/>
      <c r="AC215" s="1294"/>
      <c r="AD215" s="1294"/>
      <c r="AE215" s="1294"/>
      <c r="AF215" s="1294"/>
      <c r="AG215" s="1294"/>
      <c r="AH215" s="1294"/>
      <c r="AI215" s="1294"/>
      <c r="AJ215" s="1294"/>
      <c r="AK215" s="1294"/>
      <c r="AL215" s="1294"/>
      <c r="AM215" s="21"/>
      <c r="AN215" s="21"/>
      <c r="AO215" s="21"/>
      <c r="AP215" s="21"/>
      <c r="AQ215" s="21"/>
      <c r="AR215" s="21"/>
      <c r="AS215" s="21"/>
      <c r="AT215" s="21"/>
      <c r="AU215" s="21"/>
      <c r="AV215" s="21"/>
      <c r="AW215" s="21"/>
      <c r="AX215" s="21"/>
      <c r="AY215" s="21"/>
      <c r="BC215" t="s">
        <v>1155</v>
      </c>
      <c r="BI215" s="3" t="s">
        <v>1156</v>
      </c>
      <c r="CB215" s="350" t="s">
        <v>1144</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1143</v>
      </c>
      <c r="CS215" s="321">
        <v>442904</v>
      </c>
      <c r="CT215" s="321">
        <v>510664</v>
      </c>
      <c r="CU215" s="321">
        <v>616000</v>
      </c>
      <c r="CV215" s="321">
        <v>788480</v>
      </c>
      <c r="CW215" s="321">
        <v>878416</v>
      </c>
      <c r="CX215" s="14"/>
      <c r="CY215" s="23" t="s">
        <v>1143</v>
      </c>
      <c r="CZ215" s="321">
        <v>442904</v>
      </c>
      <c r="DA215" s="321">
        <v>510664</v>
      </c>
      <c r="DB215" s="321">
        <v>616000</v>
      </c>
      <c r="DC215" s="321">
        <v>788480</v>
      </c>
      <c r="DD215" s="321">
        <v>878416</v>
      </c>
    </row>
    <row r="216" spans="1:108" ht="12.9" customHeight="1">
      <c r="D216" s="3" t="s">
        <v>1157</v>
      </c>
      <c r="Z216" s="40"/>
      <c r="AB216" s="1524"/>
      <c r="AC216" s="1294"/>
      <c r="AD216" s="1294"/>
      <c r="AE216" s="1294"/>
      <c r="AF216" s="1294"/>
      <c r="AG216" s="1294"/>
      <c r="AH216" s="1294"/>
      <c r="AI216" s="1294"/>
      <c r="AJ216" s="1294"/>
      <c r="AK216" s="1294"/>
      <c r="AL216" s="1294"/>
      <c r="AM216" s="21"/>
      <c r="AN216" s="21"/>
      <c r="AO216" s="21"/>
      <c r="AP216" s="21"/>
      <c r="AQ216" s="21"/>
      <c r="AR216" s="21"/>
      <c r="AS216" s="21"/>
      <c r="AT216" s="21"/>
      <c r="AU216" s="21"/>
      <c r="AV216" s="21"/>
      <c r="AW216" s="21"/>
      <c r="AX216" s="21"/>
      <c r="AY216" s="21"/>
      <c r="BC216" t="s">
        <v>1158</v>
      </c>
      <c r="BI216" t="s">
        <v>1159</v>
      </c>
      <c r="CB216" s="350" t="s">
        <v>1149</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1148</v>
      </c>
      <c r="CS216" s="323">
        <v>360075</v>
      </c>
      <c r="CT216" s="323">
        <v>415163</v>
      </c>
      <c r="CU216" s="323">
        <v>500800</v>
      </c>
      <c r="CV216" s="323">
        <v>641024</v>
      </c>
      <c r="CW216" s="323">
        <v>714141</v>
      </c>
      <c r="CX216" s="14"/>
      <c r="CY216" s="23" t="s">
        <v>1148</v>
      </c>
      <c r="CZ216" s="323">
        <v>360075</v>
      </c>
      <c r="DA216" s="323">
        <v>415163</v>
      </c>
      <c r="DB216" s="323">
        <v>500800</v>
      </c>
      <c r="DC216" s="323">
        <v>641024</v>
      </c>
      <c r="DD216" s="323">
        <v>714141</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1160</v>
      </c>
      <c r="BI217" t="s">
        <v>1161</v>
      </c>
      <c r="CB217" s="350" t="s">
        <v>1153</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1152</v>
      </c>
      <c r="CS217" s="321">
        <v>360075</v>
      </c>
      <c r="CT217" s="321">
        <v>415163</v>
      </c>
      <c r="CU217" s="321">
        <v>500800</v>
      </c>
      <c r="CV217" s="321">
        <v>641024</v>
      </c>
      <c r="CW217" s="321">
        <v>714141</v>
      </c>
      <c r="CX217" s="14"/>
      <c r="CY217" s="23" t="s">
        <v>1152</v>
      </c>
      <c r="CZ217" s="321">
        <v>360075</v>
      </c>
      <c r="DA217" s="321">
        <v>415163</v>
      </c>
      <c r="DB217" s="321">
        <v>500800</v>
      </c>
      <c r="DC217" s="321">
        <v>641024</v>
      </c>
      <c r="DD217" s="321">
        <v>714141</v>
      </c>
    </row>
    <row r="218" spans="1:108" ht="12.9" customHeight="1">
      <c r="A218" s="2" t="s">
        <v>1162</v>
      </c>
      <c r="C218" s="2" t="s">
        <v>1163</v>
      </c>
      <c r="D218" s="28"/>
      <c r="AC218" s="2" t="s">
        <v>1164</v>
      </c>
      <c r="BC218" t="s">
        <v>1165</v>
      </c>
    </row>
    <row r="219" spans="1:108" ht="12.9" customHeight="1">
      <c r="A219" s="2"/>
      <c r="C219" s="2"/>
      <c r="D219" s="3" t="s">
        <v>1166</v>
      </c>
      <c r="AZ219" s="3"/>
      <c r="BA219" s="3"/>
      <c r="BC219" t="s">
        <v>1167</v>
      </c>
    </row>
    <row r="220" spans="1:108" ht="12.9" customHeight="1">
      <c r="A220" s="2"/>
      <c r="C220" s="2"/>
      <c r="D220" s="1407" t="s">
        <v>923</v>
      </c>
      <c r="E220" s="1294"/>
      <c r="F220" s="1294"/>
      <c r="G220" s="1294"/>
      <c r="H220" s="1294"/>
      <c r="I220" s="1294"/>
      <c r="J220" s="1294"/>
      <c r="K220" s="1294"/>
      <c r="L220" s="1294"/>
      <c r="M220" s="1294"/>
      <c r="N220" s="1294"/>
      <c r="O220" s="1294"/>
      <c r="P220" s="1294"/>
      <c r="Q220" s="1294"/>
      <c r="R220" s="1294"/>
      <c r="S220" s="1294"/>
      <c r="T220" s="1294"/>
      <c r="U220" s="1294"/>
      <c r="V220" s="1294"/>
      <c r="W220" s="1294"/>
      <c r="X220" s="1294"/>
      <c r="Y220" s="1294"/>
      <c r="Z220" s="1294"/>
      <c r="AC220" s="1461" t="s">
        <v>923</v>
      </c>
      <c r="AD220" s="1294"/>
      <c r="AE220" s="1294"/>
      <c r="AF220" s="1294"/>
      <c r="AG220" s="1294"/>
      <c r="AH220" s="1294"/>
      <c r="AI220" s="1294"/>
      <c r="AJ220" s="1294"/>
      <c r="AK220" s="1294"/>
      <c r="AL220" s="1294"/>
      <c r="AM220" s="1294"/>
      <c r="AN220" s="1294"/>
      <c r="AO220" s="1294"/>
      <c r="AP220" s="1294"/>
      <c r="AQ220" s="1294"/>
      <c r="BA220" s="3"/>
      <c r="BC220" t="s">
        <v>1168</v>
      </c>
    </row>
    <row r="221" spans="1:108" ht="12.9" customHeight="1">
      <c r="A221" s="2"/>
      <c r="B221" s="14"/>
      <c r="C221" s="2"/>
      <c r="BA221" s="3"/>
    </row>
    <row r="222" spans="1:108" ht="12.9" customHeight="1">
      <c r="A222" s="2" t="s">
        <v>1169</v>
      </c>
      <c r="B222" s="14"/>
      <c r="C222" s="2" t="s">
        <v>1170</v>
      </c>
      <c r="BA222" s="3"/>
    </row>
    <row r="223" spans="1:108" ht="12.9" customHeight="1">
      <c r="A223" s="2"/>
      <c r="B223" s="14"/>
      <c r="C223" s="2"/>
      <c r="D223" s="3" t="s">
        <v>1171</v>
      </c>
      <c r="BA223" s="3"/>
    </row>
    <row r="224" spans="1:108" ht="12.9" customHeight="1">
      <c r="A224" s="2"/>
      <c r="B224" s="14"/>
      <c r="C224" s="2"/>
      <c r="E224" s="3" t="s">
        <v>901</v>
      </c>
      <c r="V224" s="1401" t="s">
        <v>811</v>
      </c>
      <c r="W224" s="1294"/>
      <c r="Y224" s="1188"/>
      <c r="BA224" s="3"/>
    </row>
    <row r="225" spans="1:69" ht="12.9" customHeight="1">
      <c r="A225" s="2"/>
      <c r="B225" s="14"/>
      <c r="C225" s="2"/>
      <c r="E225" s="3" t="s">
        <v>902</v>
      </c>
      <c r="V225" s="1401" t="s">
        <v>969</v>
      </c>
      <c r="W225" s="1294"/>
      <c r="Y225" s="1189" t="str">
        <f>IF(AND(V225="Yes",OR(V226="Yes",V227="Yes",V228="Yes",V229="Yes")),"!","")</f>
        <v/>
      </c>
      <c r="Z225" s="1190" t="str">
        <f>IF(Y225="!","Requirements for pools/set-asides selected are mutually exclusive.","")</f>
        <v/>
      </c>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BA225" s="3"/>
    </row>
    <row r="226" spans="1:69" ht="12.9" customHeight="1">
      <c r="A226" s="2"/>
      <c r="B226" s="14"/>
      <c r="C226" s="2"/>
      <c r="E226" s="3" t="s">
        <v>903</v>
      </c>
      <c r="V226" s="1425" t="s">
        <v>811</v>
      </c>
      <c r="W226" s="1374"/>
      <c r="Y226" s="1189" t="str">
        <f>IF(AND(V226="Yes",OR(V227="Yes",V228="Yes",V229="Yes",V225="Yes")),"!","")</f>
        <v/>
      </c>
      <c r="Z226" s="1190" t="str">
        <f>IF(Y226="!","Requirements for pools/set-asides selected are mutually exclusive.","")</f>
        <v/>
      </c>
      <c r="AA226" s="1190"/>
      <c r="AB226" s="1190"/>
      <c r="AC226" s="1190"/>
      <c r="AD226" s="1190"/>
      <c r="AE226" s="1190"/>
      <c r="AF226" s="1190"/>
      <c r="AG226" s="1190"/>
      <c r="AH226" s="1190"/>
      <c r="AI226" s="1190"/>
      <c r="AJ226" s="1190"/>
      <c r="AK226" s="1190"/>
      <c r="AL226" s="1190"/>
      <c r="AM226" s="1190"/>
      <c r="AN226" s="1190"/>
      <c r="AO226" s="1190"/>
      <c r="AP226" s="1190"/>
      <c r="AQ226" s="1190"/>
      <c r="AR226" s="1190"/>
      <c r="AS226" s="1190"/>
      <c r="AT226" s="1190"/>
      <c r="BA226" s="3"/>
    </row>
    <row r="227" spans="1:69" ht="12.9" customHeight="1">
      <c r="A227" s="2"/>
      <c r="B227" s="14"/>
      <c r="C227" s="2"/>
      <c r="E227" s="3" t="s">
        <v>905</v>
      </c>
      <c r="V227" s="1425" t="s">
        <v>811</v>
      </c>
      <c r="W227" s="1374"/>
      <c r="Y227" s="1189" t="str">
        <f>IF(AND(V227="Yes",OR(V229="Yes",V225="Yes",V226="Yes")),"!","")</f>
        <v/>
      </c>
      <c r="Z227" s="1190" t="str">
        <f>IF(Y227="!","Requirements for pools/set-asides selected are mutually exclusive.","")</f>
        <v/>
      </c>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BA227" s="3"/>
    </row>
    <row r="228" spans="1:69" ht="12.9" customHeight="1">
      <c r="A228" s="2"/>
      <c r="B228" s="14"/>
      <c r="C228" s="2"/>
      <c r="E228" s="3" t="s">
        <v>906</v>
      </c>
      <c r="V228" s="1425" t="s">
        <v>811</v>
      </c>
      <c r="W228" s="1374"/>
      <c r="Y228" s="1189" t="str">
        <f>IF(AND(V228="Yes",OR(V229="Yes",V225="Yes",V226="Yes")),"!","")</f>
        <v/>
      </c>
      <c r="Z228" s="1190" t="str">
        <f>IF(Y228="!","Requirements for pools/set-asides selected are mutually exclusive.","")</f>
        <v/>
      </c>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BA228" s="3"/>
    </row>
    <row r="229" spans="1:69" ht="12.9" customHeight="1">
      <c r="A229" s="2"/>
      <c r="B229" s="14"/>
      <c r="C229" s="2"/>
      <c r="E229" s="3" t="s">
        <v>907</v>
      </c>
      <c r="V229" s="1425" t="s">
        <v>811</v>
      </c>
      <c r="W229" s="1374"/>
      <c r="Y229" s="1189" t="str">
        <f>IF(AND(V229="Yes",OR(V228="Yes",V227="Yes",V226="Yes",V225="Yes")),"!","")</f>
        <v/>
      </c>
      <c r="Z229" s="1190" t="str">
        <f>IF(Y229="!","Requirements for pools/set-asides selected are mutually exclusive.","")</f>
        <v/>
      </c>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BA229" s="3"/>
    </row>
    <row r="230" spans="1:69" ht="12.9" customHeight="1">
      <c r="A230" s="2"/>
      <c r="B230" s="14"/>
      <c r="C230" s="2"/>
      <c r="BA230" s="3"/>
    </row>
    <row r="231" spans="1:69" ht="12.9" customHeight="1">
      <c r="A231" s="1462" t="s">
        <v>1172</v>
      </c>
      <c r="B231" s="1298"/>
      <c r="C231" s="1298"/>
      <c r="D231" s="1298"/>
      <c r="E231" s="1298"/>
      <c r="F231" s="1298"/>
      <c r="G231" s="1298"/>
      <c r="H231" s="1298"/>
      <c r="I231" s="1298"/>
      <c r="J231" s="1298"/>
      <c r="K231" s="1298"/>
      <c r="L231" s="1298"/>
      <c r="M231" s="1298"/>
      <c r="N231" s="1298"/>
      <c r="O231" s="1298"/>
      <c r="P231" s="1298"/>
      <c r="Q231" s="1298"/>
      <c r="R231" s="1298"/>
      <c r="S231" s="1298"/>
      <c r="T231" s="1298"/>
      <c r="U231" s="1298"/>
      <c r="V231" s="1298"/>
      <c r="W231" s="1298"/>
      <c r="X231" s="1298"/>
      <c r="Y231" s="1298"/>
      <c r="Z231" s="1298"/>
      <c r="AA231" s="1298"/>
      <c r="AB231" s="1298"/>
      <c r="AC231" s="1298"/>
      <c r="AD231" s="1298"/>
      <c r="AE231" s="1298"/>
      <c r="AF231" s="1298"/>
      <c r="AG231" s="1298"/>
      <c r="AH231" s="1298"/>
      <c r="AI231" s="1298"/>
      <c r="AJ231" s="1298"/>
      <c r="AK231" s="1298"/>
      <c r="AL231" s="1298"/>
      <c r="AM231" s="1298"/>
      <c r="AN231" s="1298"/>
      <c r="AO231" s="1298"/>
      <c r="AP231" s="1298"/>
      <c r="AQ231" s="1298"/>
      <c r="AR231" s="1298"/>
      <c r="AS231" s="1298"/>
      <c r="AT231" s="1298"/>
      <c r="AU231" s="95"/>
      <c r="AV231" s="95"/>
      <c r="AW231" s="95"/>
      <c r="AX231" s="95"/>
      <c r="AY231" s="95"/>
      <c r="AZ231" s="3"/>
      <c r="BA231" s="3"/>
      <c r="BP231" s="34"/>
    </row>
    <row r="232" spans="1:69" ht="12.9" customHeight="1">
      <c r="A232" s="1298"/>
      <c r="B232" s="1298"/>
      <c r="C232" s="1298"/>
      <c r="D232" s="1298"/>
      <c r="E232" s="1298"/>
      <c r="F232" s="1298"/>
      <c r="G232" s="1298"/>
      <c r="H232" s="1298"/>
      <c r="I232" s="1298"/>
      <c r="J232" s="1298"/>
      <c r="K232" s="1298"/>
      <c r="L232" s="1298"/>
      <c r="M232" s="1298"/>
      <c r="N232" s="1298"/>
      <c r="O232" s="1298"/>
      <c r="P232" s="1298"/>
      <c r="Q232" s="1298"/>
      <c r="R232" s="1298"/>
      <c r="S232" s="1298"/>
      <c r="T232" s="1298"/>
      <c r="U232" s="1298"/>
      <c r="V232" s="1298"/>
      <c r="W232" s="1298"/>
      <c r="X232" s="1298"/>
      <c r="Y232" s="1298"/>
      <c r="Z232" s="1298"/>
      <c r="AA232" s="1298"/>
      <c r="AB232" s="1298"/>
      <c r="AC232" s="1298"/>
      <c r="AD232" s="1298"/>
      <c r="AE232" s="1298"/>
      <c r="AF232" s="1298"/>
      <c r="AG232" s="1298"/>
      <c r="AH232" s="1298"/>
      <c r="AI232" s="1298"/>
      <c r="AJ232" s="1298"/>
      <c r="AK232" s="1298"/>
      <c r="AL232" s="1298"/>
      <c r="AM232" s="1298"/>
      <c r="AN232" s="1298"/>
      <c r="AO232" s="1298"/>
      <c r="AP232" s="1298"/>
      <c r="AQ232" s="1298"/>
      <c r="AR232" s="1298"/>
      <c r="AS232" s="1298"/>
      <c r="AT232" s="1298"/>
      <c r="BA232" s="3"/>
      <c r="BB232" s="3"/>
      <c r="BQ232" s="34"/>
    </row>
    <row r="233" spans="1:69" ht="12.9" customHeight="1">
      <c r="AZ233" s="4"/>
      <c r="BA233" s="3"/>
      <c r="BB233" s="3"/>
      <c r="BQ233" s="34"/>
    </row>
    <row r="234" spans="1:69" ht="12.9" customHeight="1">
      <c r="A234" s="2" t="s">
        <v>994</v>
      </c>
      <c r="B234" s="2"/>
      <c r="C234" s="2" t="s">
        <v>1173</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 customHeight="1">
      <c r="B235" s="4"/>
      <c r="D235" s="4" t="s">
        <v>1174</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401" t="s">
        <v>935</v>
      </c>
      <c r="AJ235" s="1294"/>
      <c r="AL235" s="3"/>
      <c r="AM235" s="3"/>
      <c r="AN235" s="3"/>
      <c r="AO235" s="3"/>
      <c r="AP235" s="3"/>
      <c r="AQ235" s="3"/>
      <c r="AR235" s="3"/>
      <c r="AS235" s="3"/>
      <c r="AT235" s="3"/>
      <c r="AU235" s="3"/>
      <c r="AV235" s="3"/>
      <c r="AW235" s="3"/>
      <c r="AX235" s="3"/>
      <c r="AY235" s="3"/>
      <c r="AZ235" s="4"/>
      <c r="BB235" s="204" t="s">
        <v>1175</v>
      </c>
      <c r="BG235" s="241">
        <f>IF(AND(AND($M$258="for profit",$M$266="for profit",$M$274="nonprofit")),2,0)</f>
        <v>0</v>
      </c>
    </row>
    <row r="236" spans="1:69" ht="12.9" customHeight="1">
      <c r="B236" s="4"/>
      <c r="D236" s="4" t="s">
        <v>1176</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401" t="s">
        <v>969</v>
      </c>
      <c r="AJ236" s="1294"/>
      <c r="AL236" s="3"/>
      <c r="AM236" s="3"/>
      <c r="AN236" s="3"/>
      <c r="AO236" s="3"/>
      <c r="AP236" s="3"/>
      <c r="AQ236" s="3"/>
      <c r="AR236" s="3"/>
      <c r="AS236" s="3"/>
      <c r="AT236" s="3"/>
      <c r="AU236" s="3"/>
      <c r="AV236" s="3"/>
      <c r="AW236" s="3"/>
      <c r="AX236" s="3"/>
      <c r="AY236" s="3"/>
      <c r="BA236" s="3"/>
      <c r="BB236" s="204" t="s">
        <v>1175</v>
      </c>
      <c r="BG236" s="241">
        <f>IF(AND(AND($M$258="for profit",$M$266="nonprofit",$M$274="for profit")),2,0)</f>
        <v>0</v>
      </c>
    </row>
    <row r="237" spans="1:69" ht="12.9" customHeight="1">
      <c r="B237" s="4"/>
      <c r="D237" s="4" t="s">
        <v>1177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401" t="s">
        <v>935</v>
      </c>
      <c r="AJ237" s="1294"/>
      <c r="AL237" s="3"/>
      <c r="AM237" s="3"/>
      <c r="AN237" s="3"/>
      <c r="AO237" s="3"/>
      <c r="AP237" s="3"/>
      <c r="AQ237" s="3"/>
      <c r="AR237" s="3"/>
      <c r="AS237" s="3"/>
      <c r="AT237" s="3"/>
      <c r="AU237" s="3"/>
      <c r="AV237" s="3"/>
      <c r="AW237" s="3"/>
      <c r="AX237" s="3"/>
      <c r="AY237" s="3"/>
      <c r="AZ237" s="4"/>
      <c r="BA237" s="3"/>
      <c r="BB237" s="204" t="s">
        <v>1175</v>
      </c>
      <c r="BG237" s="241">
        <f>IF(AND(AND($M$258="nonprofit",$M$266="for profit",$M$274="for profit")),2,0)</f>
        <v>0</v>
      </c>
    </row>
    <row r="238" spans="1:69" ht="12.9" customHeight="1">
      <c r="B238" s="4"/>
      <c r="D238" s="4" t="s">
        <v>1178</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401" t="s">
        <v>935</v>
      </c>
      <c r="AJ238" s="1294"/>
      <c r="AL238" s="3"/>
      <c r="AM238" s="3"/>
      <c r="AN238" s="3"/>
      <c r="AO238" s="3"/>
      <c r="AP238" s="3"/>
      <c r="AQ238" s="3"/>
      <c r="AR238" s="3"/>
      <c r="AS238" s="3"/>
      <c r="AT238" s="3"/>
      <c r="AU238" s="3"/>
      <c r="AV238" s="3"/>
      <c r="AW238" s="3"/>
      <c r="AX238" s="3"/>
      <c r="AY238" s="3"/>
      <c r="BA238" s="3"/>
      <c r="BB238" s="204" t="s">
        <v>1175</v>
      </c>
      <c r="BG238" s="241">
        <f>IF(AND(AND($M$258="for profit",$M$266="nonprofit",$M$274="(select one)")),2,0)</f>
        <v>0</v>
      </c>
    </row>
    <row r="239" spans="1:69" ht="12.9"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1175</v>
      </c>
      <c r="BG239" s="240">
        <f>IF(AND(AND($M$258="nonprofit",$M$266="for profit",$M$274="(select one)")),2,0)</f>
        <v>2</v>
      </c>
    </row>
    <row r="240" spans="1:69" ht="12.9" customHeight="1">
      <c r="A240" s="2" t="s">
        <v>1031</v>
      </c>
      <c r="B240" s="4"/>
      <c r="C240" s="2" t="s">
        <v>1179</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 customHeight="1">
      <c r="D241" s="4" t="s">
        <v>1180</v>
      </c>
      <c r="E241" s="4"/>
      <c r="F241" s="4"/>
      <c r="G241" s="4"/>
      <c r="H241" s="4"/>
      <c r="I241" s="4"/>
      <c r="J241" s="4"/>
      <c r="K241" s="4"/>
      <c r="M241" s="1637" t="str">
        <f>H16</f>
        <v>Broadway Villages GP, LLC</v>
      </c>
      <c r="N241" s="1405"/>
      <c r="O241" s="1405"/>
      <c r="P241" s="1405"/>
      <c r="Q241" s="1405"/>
      <c r="R241" s="1405"/>
      <c r="S241" s="1405"/>
      <c r="T241" s="1405"/>
      <c r="U241" s="1405"/>
      <c r="V241" s="1405"/>
      <c r="W241" s="1405"/>
      <c r="X241" s="1405"/>
      <c r="Y241" s="1405"/>
      <c r="Z241" s="1405"/>
      <c r="AA241" s="1405"/>
      <c r="AB241" s="1405"/>
      <c r="AC241" s="1405"/>
      <c r="AD241" s="1405"/>
      <c r="AE241" s="1405"/>
      <c r="AF241" s="1405"/>
      <c r="AG241" s="1405"/>
      <c r="AH241" s="1405"/>
      <c r="AI241" s="1405"/>
      <c r="AJ241" s="1405"/>
      <c r="AK241" s="1405"/>
      <c r="AZ241" s="4"/>
      <c r="BA241" s="3"/>
      <c r="BB241" s="205" t="s">
        <v>1175</v>
      </c>
      <c r="BG241" s="241">
        <f>IF(AND(AND($M$258="nonprofit",$M$266="nonprofit",$M$274="for profit")),2,0)</f>
        <v>0</v>
      </c>
    </row>
    <row r="242" spans="1:67" ht="12.9" customHeight="1">
      <c r="D242" s="4" t="s">
        <v>1181</v>
      </c>
      <c r="E242" s="4"/>
      <c r="F242" s="4"/>
      <c r="G242" s="4"/>
      <c r="H242" s="4"/>
      <c r="I242" s="4"/>
      <c r="J242" s="4"/>
      <c r="K242" s="4"/>
      <c r="M242" s="1407" t="s">
        <v>1182</v>
      </c>
      <c r="N242" s="1294"/>
      <c r="O242" s="1294"/>
      <c r="P242" s="1294"/>
      <c r="Q242" s="1294"/>
      <c r="R242" s="1294"/>
      <c r="S242" s="1294"/>
      <c r="T242" s="1294"/>
      <c r="U242" s="1294"/>
      <c r="V242" s="1294"/>
      <c r="W242" s="1294"/>
      <c r="X242" s="1294"/>
      <c r="Y242" s="1294"/>
      <c r="Z242" s="1294"/>
      <c r="AA242" s="1294"/>
      <c r="AB242" s="1294"/>
      <c r="AC242" s="1294"/>
      <c r="AD242" s="1294"/>
      <c r="AE242" s="1294"/>
      <c r="BB242" s="205" t="s">
        <v>1175</v>
      </c>
      <c r="BG242" s="241">
        <f>IF(AND(AND($M$258="nonprofit",$M$266="for profit",$M$274="nonprofit")),2,0)</f>
        <v>0</v>
      </c>
    </row>
    <row r="243" spans="1:67" ht="12.9" customHeight="1">
      <c r="D243" s="4" t="s">
        <v>1049</v>
      </c>
      <c r="E243" s="4"/>
      <c r="M243" s="1407" t="s">
        <v>911</v>
      </c>
      <c r="N243" s="1294"/>
      <c r="O243" s="1294"/>
      <c r="P243" s="1294"/>
      <c r="Q243" s="1294"/>
      <c r="R243" s="1294"/>
      <c r="S243" s="1294"/>
      <c r="T243" s="1294"/>
      <c r="V243" s="33" t="s">
        <v>1183</v>
      </c>
      <c r="W243" s="1440" t="s">
        <v>1184</v>
      </c>
      <c r="X243" s="1374"/>
      <c r="Y243" s="4" t="s">
        <v>1052</v>
      </c>
      <c r="AC243" s="1407">
        <v>90245</v>
      </c>
      <c r="AD243" s="1294"/>
      <c r="AE243" s="1294"/>
      <c r="AU243" s="4"/>
      <c r="AV243" s="4"/>
      <c r="AW243" s="4"/>
      <c r="AX243" s="4"/>
      <c r="AY243" s="4"/>
      <c r="AZ243" s="4"/>
      <c r="BB243" s="205" t="s">
        <v>1175</v>
      </c>
      <c r="BG243" s="240">
        <f>IF(AND(AND($M$258="for profit",$M$266="nonprofit",$M$274="nonprofit")),2,0)</f>
        <v>0</v>
      </c>
    </row>
    <row r="244" spans="1:67" ht="12.9" customHeight="1">
      <c r="D244" s="4" t="s">
        <v>1185</v>
      </c>
      <c r="E244" s="4"/>
      <c r="F244" s="4"/>
      <c r="G244" s="4"/>
      <c r="H244" s="4"/>
      <c r="I244" s="4"/>
      <c r="J244" s="4"/>
      <c r="K244" s="19"/>
      <c r="M244" s="1407" t="s">
        <v>1186</v>
      </c>
      <c r="N244" s="1294"/>
      <c r="O244" s="1294"/>
      <c r="P244" s="1294"/>
      <c r="Q244" s="1294"/>
      <c r="R244" s="1294"/>
      <c r="S244" s="1294"/>
      <c r="T244" s="1294"/>
      <c r="U244" s="1294"/>
      <c r="V244" s="1294"/>
      <c r="W244" s="1294"/>
      <c r="X244" s="1294"/>
      <c r="Y244" s="1294"/>
      <c r="Z244" s="1294"/>
      <c r="AA244" s="1294"/>
      <c r="AB244" s="1294"/>
      <c r="AC244" s="1294"/>
      <c r="AD244" s="1294"/>
      <c r="AE244" s="1294"/>
      <c r="AI244" s="4"/>
      <c r="AJ244" s="4"/>
      <c r="AK244" s="4"/>
      <c r="AL244" s="4"/>
      <c r="AM244" s="4"/>
      <c r="AN244" s="4"/>
      <c r="AO244" s="4"/>
      <c r="AP244" s="4"/>
      <c r="AQ244" s="4"/>
      <c r="AR244" s="4"/>
      <c r="AS244" s="4"/>
      <c r="AT244" s="4"/>
      <c r="BB244" s="205"/>
      <c r="BG244" s="204"/>
    </row>
    <row r="245" spans="1:67" ht="12.9" customHeight="1">
      <c r="D245" s="4" t="s">
        <v>1187</v>
      </c>
      <c r="E245" s="4"/>
      <c r="F245" s="4"/>
      <c r="M245" s="1430">
        <v>3234971705</v>
      </c>
      <c r="N245" s="1374"/>
      <c r="O245" s="1374"/>
      <c r="P245" s="1374"/>
      <c r="Q245" s="1374"/>
      <c r="R245" s="1374"/>
      <c r="S245" s="4" t="s">
        <v>1188</v>
      </c>
      <c r="T245" s="4"/>
      <c r="U245" s="1440"/>
      <c r="V245" s="1374"/>
      <c r="W245" s="1374"/>
      <c r="X245" s="4" t="s">
        <v>1189</v>
      </c>
      <c r="Z245" s="1430"/>
      <c r="AA245" s="1374"/>
      <c r="AB245" s="1374"/>
      <c r="AC245" s="1374"/>
      <c r="AD245" s="1374"/>
      <c r="AE245" s="1374"/>
      <c r="AU245" s="4"/>
      <c r="AV245" s="4"/>
      <c r="AW245" s="4"/>
      <c r="AX245" s="4"/>
      <c r="AY245" s="4"/>
      <c r="AZ245" s="4"/>
      <c r="BB245" s="204" t="s">
        <v>1190</v>
      </c>
      <c r="BG245" s="241">
        <f>IF(AND(AND($M$258="nonprofit",$M$266="nonprofit",$M$274="(select one)")),1,0)</f>
        <v>0</v>
      </c>
    </row>
    <row r="246" spans="1:67" ht="12.9" customHeight="1">
      <c r="D246" s="4" t="s">
        <v>1191</v>
      </c>
      <c r="E246" s="4"/>
      <c r="F246" s="4"/>
      <c r="M246" s="1522" t="s">
        <v>1192</v>
      </c>
      <c r="N246" s="1294"/>
      <c r="O246" s="1294"/>
      <c r="P246" s="1294"/>
      <c r="Q246" s="1294"/>
      <c r="R246" s="1294"/>
      <c r="S246" s="1294"/>
      <c r="T246" s="1294"/>
      <c r="U246" s="1294"/>
      <c r="V246" s="1294"/>
      <c r="W246" s="1294"/>
      <c r="X246" s="1294"/>
      <c r="Y246" s="1294"/>
      <c r="Z246" s="1294"/>
      <c r="AA246" s="1294"/>
      <c r="AB246" s="1294"/>
      <c r="AC246" s="1294"/>
      <c r="AD246" s="1294"/>
      <c r="AE246" s="1294"/>
      <c r="AF246" s="4"/>
      <c r="AG246" s="4"/>
      <c r="AH246" s="4"/>
      <c r="AI246" s="4"/>
      <c r="AJ246" s="4"/>
      <c r="AK246" s="4"/>
      <c r="AL246" s="4"/>
      <c r="AM246" s="4"/>
      <c r="AN246" s="4"/>
      <c r="AO246" s="4"/>
      <c r="AP246" s="4"/>
      <c r="AQ246" s="4"/>
      <c r="AR246" s="4"/>
      <c r="AS246" s="4"/>
      <c r="AT246" s="4"/>
      <c r="AU246" s="3"/>
      <c r="AV246" s="3"/>
      <c r="AW246" s="3"/>
      <c r="AX246" s="3"/>
      <c r="AY246" s="3"/>
      <c r="BB246" s="204" t="s">
        <v>1190</v>
      </c>
      <c r="BG246" s="241">
        <f>IF(AND(AND($M$258="nonprofit",$M$266="nonprofit",$M$274="nonprofit")),1,0)</f>
        <v>0</v>
      </c>
    </row>
    <row r="247" spans="1:67" ht="12.9" customHeight="1">
      <c r="A247" s="2" t="s">
        <v>1106</v>
      </c>
      <c r="C247" s="2" t="s">
        <v>1193</v>
      </c>
      <c r="M247" s="1400" t="s">
        <v>1168</v>
      </c>
      <c r="N247" s="1374"/>
      <c r="O247" s="1374"/>
      <c r="P247" s="1374"/>
      <c r="Q247" s="1374"/>
      <c r="R247" s="1374"/>
      <c r="S247" s="1374"/>
      <c r="T247" s="1374"/>
      <c r="U247" s="204" t="s">
        <v>1194</v>
      </c>
      <c r="V247" s="204"/>
      <c r="W247" s="204"/>
      <c r="X247" s="204"/>
      <c r="Y247" s="204"/>
      <c r="Z247" s="204"/>
      <c r="AA247" s="1436" t="s">
        <v>1195</v>
      </c>
      <c r="AB247" s="1294"/>
      <c r="AC247" s="1294"/>
      <c r="AD247" s="1294"/>
      <c r="AE247" s="1294"/>
      <c r="AF247" s="1294"/>
      <c r="AG247" s="1294"/>
      <c r="AH247" s="1294"/>
      <c r="AI247" s="1294"/>
      <c r="AJ247" s="1294"/>
      <c r="AK247" s="1294"/>
      <c r="AL247" s="3"/>
      <c r="AM247" s="3"/>
      <c r="AN247" s="3"/>
      <c r="AO247" s="3"/>
      <c r="AP247" s="3"/>
      <c r="AQ247" s="3"/>
      <c r="AR247" s="3"/>
      <c r="AS247" s="3"/>
      <c r="AT247" s="3"/>
      <c r="AU247" s="3"/>
      <c r="AV247" s="3"/>
      <c r="AW247" s="3"/>
      <c r="AX247" s="3"/>
      <c r="AY247" s="3"/>
      <c r="BB247" s="204" t="s">
        <v>1190</v>
      </c>
      <c r="BG247" s="241">
        <f>IF(AND(AND($M$258="nonprofit",$M$266="(select one)",$M$274="(select one)")),1,0)</f>
        <v>0</v>
      </c>
    </row>
    <row r="248" spans="1:67" ht="12.9" customHeight="1">
      <c r="D248" t="s">
        <v>1196</v>
      </c>
      <c r="M248" s="1389"/>
      <c r="N248" s="1294"/>
      <c r="O248" s="1294"/>
      <c r="P248" s="1294"/>
      <c r="Q248" s="1294"/>
      <c r="R248" s="1294"/>
      <c r="S248" s="1294"/>
      <c r="T248" s="1294"/>
      <c r="U248" s="1294"/>
      <c r="V248" s="1294"/>
      <c r="W248" s="1294"/>
      <c r="X248" s="1294"/>
      <c r="Y248" s="1294"/>
      <c r="Z248" s="1294"/>
      <c r="AA248" s="1294"/>
      <c r="AB248" s="1294"/>
      <c r="AC248" s="1294"/>
      <c r="AD248" s="1294"/>
      <c r="AE248" s="1294"/>
      <c r="AF248" s="4"/>
      <c r="AG248" s="4"/>
      <c r="AH248" s="4"/>
      <c r="AI248" s="4"/>
      <c r="AJ248" s="4"/>
      <c r="AK248" s="3"/>
      <c r="AL248" s="3"/>
      <c r="AM248" s="3"/>
      <c r="AN248" s="3"/>
      <c r="AO248" s="3"/>
      <c r="AP248" s="3"/>
      <c r="AQ248" s="3"/>
      <c r="AR248" s="3"/>
      <c r="AS248" s="3"/>
      <c r="AT248" s="3"/>
      <c r="BB248" s="204" t="s">
        <v>1197</v>
      </c>
      <c r="BG248" s="241">
        <f>IF(AND(AND($M$258="for profit",$M$266="for profit",$M$274="(select one)")),3,0)</f>
        <v>0</v>
      </c>
    </row>
    <row r="249" spans="1:67" ht="12.9" customHeight="1">
      <c r="D249" s="4"/>
      <c r="BB249" s="204" t="s">
        <v>1197</v>
      </c>
      <c r="BG249" s="241">
        <f>IF(AND(AND($M$258="for profit",$M$266="for profit",$M$274="for profit")),3,0)</f>
        <v>0</v>
      </c>
    </row>
    <row r="250" spans="1:67" ht="12.9" customHeight="1">
      <c r="A250" s="2" t="s">
        <v>1123</v>
      </c>
      <c r="C250" s="2" t="s">
        <v>1198</v>
      </c>
      <c r="D250" s="4"/>
      <c r="L250" s="8"/>
      <c r="M250" s="8"/>
      <c r="N250" s="8"/>
      <c r="AU250" s="3"/>
      <c r="AV250" s="3"/>
      <c r="AW250" s="3"/>
      <c r="AX250" s="3"/>
      <c r="AY250" s="3"/>
      <c r="BB250" s="204" t="s">
        <v>1197</v>
      </c>
      <c r="BG250" s="241">
        <f>IF(AND(AND($M$258="for profit",$M$266="(select one)",$M$274="(select one)")),3,0)</f>
        <v>0</v>
      </c>
    </row>
    <row r="251" spans="1:67" ht="12.9"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 customHeight="1">
      <c r="A252" s="19"/>
      <c r="B252" s="4"/>
      <c r="C252" s="56" t="s">
        <v>1199</v>
      </c>
      <c r="D252" s="4" t="s">
        <v>1200</v>
      </c>
      <c r="E252" s="4"/>
      <c r="F252" s="4"/>
      <c r="G252" s="4"/>
      <c r="H252" s="4"/>
      <c r="I252" s="4"/>
      <c r="J252" s="4"/>
      <c r="K252" s="4"/>
      <c r="L252" s="4"/>
      <c r="M252" s="1465" t="s">
        <v>1201</v>
      </c>
      <c r="N252" s="1294"/>
      <c r="O252" s="1294"/>
      <c r="P252" s="1294"/>
      <c r="Q252" s="1294"/>
      <c r="R252" s="1294"/>
      <c r="S252" s="1294"/>
      <c r="T252" s="1294"/>
      <c r="U252" s="1294"/>
      <c r="V252" s="1294"/>
      <c r="W252" s="1294"/>
      <c r="X252" s="1294"/>
      <c r="Y252" s="1294"/>
      <c r="Z252" s="1294"/>
      <c r="AA252" s="1294"/>
      <c r="AB252" s="1294"/>
      <c r="AC252" s="1294"/>
      <c r="AD252" s="1294"/>
      <c r="AE252" s="1294"/>
      <c r="AF252" s="1465" t="s">
        <v>1202</v>
      </c>
      <c r="AG252" s="1294"/>
      <c r="AH252" s="1294"/>
      <c r="AI252" s="1294"/>
      <c r="AJ252" s="1294"/>
      <c r="AK252" s="1294"/>
      <c r="AU252" s="4"/>
      <c r="AV252" s="4"/>
      <c r="AW252" s="4"/>
      <c r="AX252" s="4"/>
      <c r="AY252" s="4"/>
      <c r="BG252">
        <f>SUM(BG235:BG250)</f>
        <v>2</v>
      </c>
    </row>
    <row r="253" spans="1:67" ht="12.9" customHeight="1">
      <c r="A253" s="19"/>
      <c r="B253" s="4"/>
      <c r="C253" s="4"/>
      <c r="D253" s="4" t="s">
        <v>1181</v>
      </c>
      <c r="E253" s="4"/>
      <c r="F253" s="4"/>
      <c r="G253" s="4"/>
      <c r="H253" s="4"/>
      <c r="I253" s="4"/>
      <c r="J253" s="4"/>
      <c r="K253" s="4"/>
      <c r="L253" s="4"/>
      <c r="M253" s="1407" t="s">
        <v>1203</v>
      </c>
      <c r="N253" s="1294"/>
      <c r="O253" s="1294"/>
      <c r="P253" s="1294"/>
      <c r="Q253" s="1294"/>
      <c r="R253" s="1294"/>
      <c r="S253" s="1294"/>
      <c r="T253" s="1294"/>
      <c r="U253" s="1294"/>
      <c r="V253" s="1294"/>
      <c r="W253" s="1294"/>
      <c r="X253" s="1294"/>
      <c r="Y253" s="1294"/>
      <c r="Z253" s="1294"/>
      <c r="AA253" s="1294"/>
      <c r="AB253" s="1294"/>
      <c r="AC253" s="1294"/>
      <c r="AD253" s="1294"/>
      <c r="AE253" s="1294"/>
      <c r="AF253" s="3" t="s">
        <v>1204</v>
      </c>
      <c r="AL253" s="4"/>
      <c r="AM253" s="4"/>
      <c r="AN253" s="4"/>
      <c r="AO253" s="4"/>
      <c r="AP253" s="4"/>
      <c r="AQ253" s="4"/>
      <c r="AR253" s="4"/>
      <c r="AS253" s="4"/>
      <c r="AT253" s="4"/>
      <c r="BB253" t="s">
        <v>444</v>
      </c>
      <c r="BG253">
        <v>1</v>
      </c>
      <c r="BH253" t="s">
        <v>1205</v>
      </c>
    </row>
    <row r="254" spans="1:67" ht="12.9" customHeight="1">
      <c r="A254" s="19"/>
      <c r="B254" s="4"/>
      <c r="C254" s="4"/>
      <c r="D254" s="4" t="s">
        <v>1049</v>
      </c>
      <c r="E254" s="4"/>
      <c r="M254" s="1407" t="s">
        <v>1206</v>
      </c>
      <c r="N254" s="1294"/>
      <c r="O254" s="1294"/>
      <c r="P254" s="1294"/>
      <c r="Q254" s="1294"/>
      <c r="R254" s="1294"/>
      <c r="S254" s="1294"/>
      <c r="T254" s="1294"/>
      <c r="V254" s="33" t="s">
        <v>1183</v>
      </c>
      <c r="W254" s="1440" t="s">
        <v>1184</v>
      </c>
      <c r="X254" s="1374"/>
      <c r="Y254" s="4" t="s">
        <v>1052</v>
      </c>
      <c r="AC254" s="1407">
        <v>96001</v>
      </c>
      <c r="AD254" s="1294"/>
      <c r="AE254" s="1294"/>
      <c r="AF254" s="3" t="s">
        <v>1207</v>
      </c>
      <c r="AU254" s="4"/>
      <c r="AV254" s="4"/>
      <c r="AW254" s="4"/>
      <c r="AX254" s="4"/>
      <c r="AY254" s="4"/>
      <c r="BB254" s="4" t="s">
        <v>1208</v>
      </c>
      <c r="BG254">
        <v>2</v>
      </c>
      <c r="BH254" t="s">
        <v>1158</v>
      </c>
      <c r="BO254" s="239" t="str">
        <f>VLOOKUP(BG252,BG253:BH256,2,FALSE)</f>
        <v>Joint Venture</v>
      </c>
    </row>
    <row r="255" spans="1:67" ht="12.9" customHeight="1">
      <c r="A255" s="19"/>
      <c r="B255" s="4"/>
      <c r="C255" s="4"/>
      <c r="D255" s="4" t="s">
        <v>1185</v>
      </c>
      <c r="E255" s="4"/>
      <c r="F255" s="4"/>
      <c r="G255" s="4"/>
      <c r="H255" s="4"/>
      <c r="I255" s="4"/>
      <c r="J255" s="4"/>
      <c r="K255" s="4"/>
      <c r="L255" s="19"/>
      <c r="M255" s="1407" t="s">
        <v>1209</v>
      </c>
      <c r="N255" s="1294"/>
      <c r="O255" s="1294"/>
      <c r="P255" s="1294"/>
      <c r="Q255" s="1294"/>
      <c r="R255" s="1294"/>
      <c r="S255" s="1294"/>
      <c r="T255" s="1294"/>
      <c r="U255" s="1294"/>
      <c r="V255" s="1294"/>
      <c r="W255" s="1294"/>
      <c r="X255" s="1294"/>
      <c r="Y255" s="1294"/>
      <c r="Z255" s="1294"/>
      <c r="AA255" s="1294"/>
      <c r="AB255" s="1294"/>
      <c r="AC255" s="1294"/>
      <c r="AD255" s="1294"/>
      <c r="AE255" s="1294"/>
      <c r="AH255" s="1433">
        <v>1E-3</v>
      </c>
      <c r="AI255" s="1294"/>
      <c r="AJ255" s="1294"/>
      <c r="AK255" s="1294"/>
      <c r="AL255" s="4"/>
      <c r="AM255" s="4"/>
      <c r="AN255" s="4"/>
      <c r="AO255" s="4"/>
      <c r="AP255" s="4"/>
      <c r="AQ255" s="4"/>
      <c r="AR255" s="4"/>
      <c r="AS255" s="4"/>
      <c r="AT255" s="4"/>
      <c r="BB255" s="4" t="s">
        <v>1210</v>
      </c>
      <c r="BG255">
        <v>3</v>
      </c>
      <c r="BH255" t="s">
        <v>1211</v>
      </c>
      <c r="BN255" s="34"/>
    </row>
    <row r="256" spans="1:67" ht="12.9" customHeight="1">
      <c r="A256" s="19"/>
      <c r="B256" s="4"/>
      <c r="C256" s="4"/>
      <c r="D256" s="4" t="s">
        <v>1187</v>
      </c>
      <c r="E256" s="4"/>
      <c r="F256" s="4"/>
      <c r="M256" s="1430">
        <v>5302416960</v>
      </c>
      <c r="N256" s="1374"/>
      <c r="O256" s="1374"/>
      <c r="P256" s="1374"/>
      <c r="Q256" s="1374"/>
      <c r="R256" s="1374"/>
      <c r="S256" s="4" t="s">
        <v>1188</v>
      </c>
      <c r="T256" s="4"/>
      <c r="U256" s="1440"/>
      <c r="V256" s="1374"/>
      <c r="W256" s="1374"/>
      <c r="X256" s="4" t="s">
        <v>1189</v>
      </c>
      <c r="Z256" s="1430"/>
      <c r="AA256" s="1374"/>
      <c r="AB256" s="1374"/>
      <c r="AC256" s="1374"/>
      <c r="AD256" s="1374"/>
      <c r="AE256" s="1374"/>
      <c r="AU256" s="4"/>
      <c r="AV256" s="4"/>
      <c r="AW256" s="4"/>
      <c r="AX256" s="4"/>
      <c r="AY256" s="4"/>
      <c r="BG256">
        <v>0</v>
      </c>
      <c r="BH256" s="3" t="str">
        <f>""</f>
        <v/>
      </c>
      <c r="BN256" s="34"/>
    </row>
    <row r="257" spans="1:66" ht="12.9" customHeight="1">
      <c r="A257" s="19"/>
      <c r="B257" s="4"/>
      <c r="C257" s="4"/>
      <c r="D257" s="4" t="s">
        <v>1191</v>
      </c>
      <c r="E257" s="4"/>
      <c r="F257" s="4"/>
      <c r="M257" s="1522" t="s">
        <v>1212</v>
      </c>
      <c r="N257" s="1294"/>
      <c r="O257" s="1294"/>
      <c r="P257" s="1294"/>
      <c r="Q257" s="1294"/>
      <c r="R257" s="1294"/>
      <c r="S257" s="1294"/>
      <c r="T257" s="1294"/>
      <c r="U257" s="1294"/>
      <c r="V257" s="1294"/>
      <c r="W257" s="1294"/>
      <c r="X257" s="1294"/>
      <c r="Y257" s="1294"/>
      <c r="Z257" s="1294"/>
      <c r="AA257" s="1294"/>
      <c r="AB257" s="1294"/>
      <c r="AC257" s="1294"/>
      <c r="AD257" s="1294"/>
      <c r="AE257" s="1294"/>
      <c r="AG257" s="4"/>
      <c r="AH257" s="4"/>
      <c r="AI257" s="4"/>
      <c r="AJ257" s="4"/>
      <c r="AK257" s="4"/>
      <c r="AL257" s="4"/>
      <c r="AM257" s="4"/>
      <c r="AN257" s="4"/>
      <c r="AO257" s="4"/>
      <c r="AP257" s="4"/>
      <c r="AQ257" s="4"/>
      <c r="AR257" s="4"/>
      <c r="AS257" s="4"/>
      <c r="AT257" s="4"/>
      <c r="BN257" s="34"/>
    </row>
    <row r="258" spans="1:66" ht="12.9" customHeight="1">
      <c r="A258" s="13"/>
      <c r="B258" s="4"/>
      <c r="C258" s="56"/>
      <c r="D258" s="4" t="s">
        <v>1213</v>
      </c>
      <c r="E258" s="4"/>
      <c r="F258" s="4"/>
      <c r="G258" s="4"/>
      <c r="H258" s="4"/>
      <c r="I258" s="4"/>
      <c r="J258" s="4"/>
      <c r="K258" s="4"/>
      <c r="L258" s="4"/>
      <c r="M258" s="1400" t="s">
        <v>1205</v>
      </c>
      <c r="N258" s="1374"/>
      <c r="O258" s="1374"/>
      <c r="P258" s="1374"/>
      <c r="Q258" s="1374"/>
      <c r="R258" s="1374"/>
      <c r="S258" s="1374"/>
      <c r="T258" s="1374"/>
      <c r="U258" s="204" t="s">
        <v>1194</v>
      </c>
      <c r="V258" s="204"/>
      <c r="W258" s="204"/>
      <c r="X258" s="204"/>
      <c r="Y258" s="204"/>
      <c r="Z258" s="204"/>
      <c r="AA258" s="1436"/>
      <c r="AB258" s="1294"/>
      <c r="AC258" s="1294"/>
      <c r="AD258" s="1294"/>
      <c r="AE258" s="1294"/>
      <c r="AF258" s="1294"/>
      <c r="AG258" s="1294"/>
      <c r="AH258" s="1294"/>
      <c r="AI258" s="1294"/>
      <c r="AJ258" s="1294"/>
      <c r="AK258" s="1294"/>
      <c r="BN258" s="34"/>
    </row>
    <row r="259" spans="1:66" ht="12.9" customHeight="1">
      <c r="A259" s="19"/>
      <c r="B259" s="4"/>
      <c r="C259" s="4"/>
      <c r="D259" s="4"/>
      <c r="E259" s="4"/>
      <c r="F259" s="4"/>
      <c r="G259" s="4"/>
      <c r="H259" s="4"/>
      <c r="I259" s="4"/>
      <c r="J259" s="4"/>
      <c r="K259" s="4"/>
      <c r="L259" s="4"/>
      <c r="AG259" s="4"/>
      <c r="AH259" s="4"/>
      <c r="AI259" s="4"/>
      <c r="AJ259" s="4"/>
      <c r="BN259" s="34"/>
    </row>
    <row r="260" spans="1:66" ht="12.9" customHeight="1">
      <c r="A260" s="2"/>
      <c r="B260" s="4"/>
      <c r="C260" s="56" t="s">
        <v>1214</v>
      </c>
      <c r="D260" s="4" t="s">
        <v>1215</v>
      </c>
      <c r="E260" s="4"/>
      <c r="F260" s="4"/>
      <c r="G260" s="4"/>
      <c r="H260" s="4"/>
      <c r="I260" s="4"/>
      <c r="J260" s="4"/>
      <c r="K260" s="4"/>
      <c r="L260" s="4"/>
      <c r="M260" s="1582" t="s">
        <v>2734</v>
      </c>
      <c r="N260" s="1294"/>
      <c r="O260" s="1294"/>
      <c r="P260" s="1294"/>
      <c r="Q260" s="1294"/>
      <c r="R260" s="1294"/>
      <c r="S260" s="1294"/>
      <c r="T260" s="1294"/>
      <c r="U260" s="1294"/>
      <c r="V260" s="1294"/>
      <c r="W260" s="1294"/>
      <c r="X260" s="1294"/>
      <c r="Y260" s="1294"/>
      <c r="Z260" s="1294"/>
      <c r="AA260" s="1294"/>
      <c r="AB260" s="1294"/>
      <c r="AC260" s="1294"/>
      <c r="AD260" s="1294"/>
      <c r="AE260" s="1294"/>
      <c r="AF260" s="1465" t="s">
        <v>1216</v>
      </c>
      <c r="AG260" s="1294"/>
      <c r="AH260" s="1294"/>
      <c r="AI260" s="1294"/>
      <c r="AJ260" s="1294"/>
      <c r="AK260" s="1294"/>
      <c r="AU260" s="4"/>
      <c r="AV260" s="4"/>
      <c r="AW260" s="4"/>
      <c r="AX260" s="4"/>
      <c r="AY260" s="4"/>
      <c r="BN260" s="34"/>
    </row>
    <row r="261" spans="1:66" ht="12.9" customHeight="1">
      <c r="A261" s="19"/>
      <c r="B261" s="4"/>
      <c r="C261" s="4"/>
      <c r="D261" s="4" t="s">
        <v>1181</v>
      </c>
      <c r="E261" s="4"/>
      <c r="F261" s="4"/>
      <c r="G261" s="4"/>
      <c r="H261" s="4"/>
      <c r="I261" s="4"/>
      <c r="J261" s="4"/>
      <c r="K261" s="4"/>
      <c r="L261" s="4"/>
      <c r="M261" s="1407" t="s">
        <v>1182</v>
      </c>
      <c r="N261" s="1294"/>
      <c r="O261" s="1294"/>
      <c r="P261" s="1294"/>
      <c r="Q261" s="1294"/>
      <c r="R261" s="1294"/>
      <c r="S261" s="1294"/>
      <c r="T261" s="1294"/>
      <c r="U261" s="1294"/>
      <c r="V261" s="1294"/>
      <c r="W261" s="1294"/>
      <c r="X261" s="1294"/>
      <c r="Y261" s="1294"/>
      <c r="Z261" s="1294"/>
      <c r="AA261" s="1294"/>
      <c r="AB261" s="1294"/>
      <c r="AC261" s="1294"/>
      <c r="AD261" s="1294"/>
      <c r="AE261" s="1294"/>
      <c r="AF261" s="3" t="s">
        <v>1204</v>
      </c>
      <c r="AL261" s="4"/>
      <c r="AM261" s="4"/>
      <c r="AN261" s="4"/>
      <c r="AO261" s="4"/>
      <c r="AP261" s="4"/>
      <c r="AQ261" s="4"/>
      <c r="AR261" s="4"/>
      <c r="AS261" s="4"/>
      <c r="AT261" s="4"/>
      <c r="BN261" s="34"/>
    </row>
    <row r="262" spans="1:66" ht="12.9" customHeight="1">
      <c r="A262" s="19"/>
      <c r="B262" s="4"/>
      <c r="C262" s="4"/>
      <c r="D262" s="4" t="s">
        <v>1049</v>
      </c>
      <c r="E262" s="4"/>
      <c r="M262" s="1407" t="s">
        <v>1217</v>
      </c>
      <c r="N262" s="1294"/>
      <c r="O262" s="1294"/>
      <c r="P262" s="1294"/>
      <c r="Q262" s="1294"/>
      <c r="R262" s="1294"/>
      <c r="S262" s="1294"/>
      <c r="T262" s="1294"/>
      <c r="V262" s="33" t="s">
        <v>1183</v>
      </c>
      <c r="W262" s="1440" t="s">
        <v>1184</v>
      </c>
      <c r="X262" s="1374"/>
      <c r="Y262" s="4" t="s">
        <v>1052</v>
      </c>
      <c r="AC262" s="1407">
        <v>90245</v>
      </c>
      <c r="AD262" s="1294"/>
      <c r="AE262" s="1294"/>
      <c r="AF262" s="3" t="s">
        <v>1207</v>
      </c>
      <c r="AU262" s="4"/>
      <c r="AV262" s="4"/>
      <c r="AW262" s="4"/>
      <c r="AX262" s="4"/>
      <c r="AY262" s="4"/>
      <c r="BN262" s="34"/>
    </row>
    <row r="263" spans="1:66" ht="12.9" customHeight="1">
      <c r="A263" s="19"/>
      <c r="B263" s="4"/>
      <c r="C263" s="4"/>
      <c r="D263" s="4" t="s">
        <v>1185</v>
      </c>
      <c r="E263" s="4"/>
      <c r="F263" s="4"/>
      <c r="G263" s="4"/>
      <c r="H263" s="4"/>
      <c r="I263" s="4"/>
      <c r="J263" s="4"/>
      <c r="K263" s="4"/>
      <c r="L263" s="19"/>
      <c r="M263" s="1407" t="s">
        <v>1186</v>
      </c>
      <c r="N263" s="1294"/>
      <c r="O263" s="1294"/>
      <c r="P263" s="1294"/>
      <c r="Q263" s="1294"/>
      <c r="R263" s="1294"/>
      <c r="S263" s="1294"/>
      <c r="T263" s="1294"/>
      <c r="U263" s="1294"/>
      <c r="V263" s="1294"/>
      <c r="W263" s="1294"/>
      <c r="X263" s="1294"/>
      <c r="Y263" s="1294"/>
      <c r="Z263" s="1294"/>
      <c r="AA263" s="1294"/>
      <c r="AB263" s="1294"/>
      <c r="AC263" s="1294"/>
      <c r="AD263" s="1294"/>
      <c r="AE263" s="1294"/>
      <c r="AH263" s="1433">
        <v>8.9999999999999993E-3</v>
      </c>
      <c r="AI263" s="1294"/>
      <c r="AJ263" s="1294"/>
      <c r="AK263" s="1294"/>
      <c r="AL263" s="4"/>
      <c r="AM263" s="4"/>
      <c r="AN263" s="4"/>
      <c r="AO263" s="4"/>
      <c r="AP263" s="4"/>
      <c r="AQ263" s="4"/>
      <c r="AR263" s="4"/>
      <c r="AS263" s="4"/>
      <c r="AT263" s="4"/>
    </row>
    <row r="264" spans="1:66" ht="12.9" customHeight="1">
      <c r="A264" s="19"/>
      <c r="B264" s="4"/>
      <c r="C264" s="4"/>
      <c r="D264" s="4" t="s">
        <v>1187</v>
      </c>
      <c r="E264" s="4"/>
      <c r="F264" s="4"/>
      <c r="M264" s="1430">
        <v>3234971705</v>
      </c>
      <c r="N264" s="1374"/>
      <c r="O264" s="1374"/>
      <c r="P264" s="1374"/>
      <c r="Q264" s="1374"/>
      <c r="R264" s="1374"/>
      <c r="S264" s="4" t="s">
        <v>1188</v>
      </c>
      <c r="T264" s="4"/>
      <c r="U264" s="1440"/>
      <c r="V264" s="1374"/>
      <c r="W264" s="1374"/>
      <c r="X264" s="4" t="s">
        <v>1189</v>
      </c>
      <c r="Z264" s="1430"/>
      <c r="AA264" s="1374"/>
      <c r="AB264" s="1374"/>
      <c r="AC264" s="1374"/>
      <c r="AD264" s="1374"/>
      <c r="AE264" s="1374"/>
      <c r="AU264" s="4"/>
      <c r="AV264" s="4"/>
      <c r="AW264" s="4"/>
      <c r="AX264" s="4"/>
      <c r="AY264" s="4"/>
      <c r="BN264" s="34"/>
    </row>
    <row r="265" spans="1:66" ht="12.9" customHeight="1">
      <c r="A265" s="19"/>
      <c r="B265" s="4"/>
      <c r="C265" s="4"/>
      <c r="D265" s="4" t="s">
        <v>1191</v>
      </c>
      <c r="E265" s="4"/>
      <c r="F265" s="4"/>
      <c r="M265" s="1522" t="s">
        <v>1192</v>
      </c>
      <c r="N265" s="1294"/>
      <c r="O265" s="1294"/>
      <c r="P265" s="1294"/>
      <c r="Q265" s="1294"/>
      <c r="R265" s="1294"/>
      <c r="S265" s="1294"/>
      <c r="T265" s="1294"/>
      <c r="U265" s="1294"/>
      <c r="V265" s="1294"/>
      <c r="W265" s="1294"/>
      <c r="X265" s="1294"/>
      <c r="Y265" s="1294"/>
      <c r="Z265" s="1294"/>
      <c r="AA265" s="1294"/>
      <c r="AB265" s="1294"/>
      <c r="AC265" s="1294"/>
      <c r="AD265" s="1294"/>
      <c r="AE265" s="1294"/>
      <c r="AG265" s="4"/>
      <c r="AH265" s="4"/>
      <c r="AI265" s="4"/>
      <c r="AJ265" s="4"/>
      <c r="AK265" s="4"/>
      <c r="AL265" s="4"/>
      <c r="AM265" s="4"/>
      <c r="AN265" s="4"/>
      <c r="AO265" s="4"/>
      <c r="AP265" s="4"/>
      <c r="AQ265" s="4"/>
      <c r="AR265" s="4"/>
      <c r="AS265" s="4"/>
      <c r="AT265" s="4"/>
      <c r="AU265" s="3"/>
      <c r="AV265" s="3"/>
      <c r="AW265" s="3"/>
      <c r="AX265" s="3"/>
      <c r="AY265" s="3"/>
      <c r="BN265" s="34"/>
    </row>
    <row r="266" spans="1:66" ht="12.9" customHeight="1">
      <c r="A266" s="13"/>
      <c r="B266" s="4"/>
      <c r="C266" s="56"/>
      <c r="D266" s="4" t="s">
        <v>1213</v>
      </c>
      <c r="E266" s="4"/>
      <c r="F266" s="4"/>
      <c r="G266" s="4"/>
      <c r="H266" s="4"/>
      <c r="I266" s="4"/>
      <c r="J266" s="4"/>
      <c r="K266" s="4"/>
      <c r="L266" s="4"/>
      <c r="M266" s="1400" t="s">
        <v>1211</v>
      </c>
      <c r="N266" s="1374"/>
      <c r="O266" s="1374"/>
      <c r="P266" s="1374"/>
      <c r="Q266" s="1374"/>
      <c r="R266" s="1374"/>
      <c r="S266" s="1374"/>
      <c r="T266" s="1374"/>
      <c r="U266" s="204" t="s">
        <v>1194</v>
      </c>
      <c r="V266" s="204"/>
      <c r="W266" s="204"/>
      <c r="X266" s="204"/>
      <c r="Y266" s="204"/>
      <c r="Z266" s="204"/>
      <c r="AA266" s="1436" t="s">
        <v>1195</v>
      </c>
      <c r="AB266" s="1294"/>
      <c r="AC266" s="1294"/>
      <c r="AD266" s="1294"/>
      <c r="AE266" s="1294"/>
      <c r="AF266" s="1294"/>
      <c r="AG266" s="1294"/>
      <c r="AH266" s="1294"/>
      <c r="AI266" s="1294"/>
      <c r="AJ266" s="1294"/>
      <c r="AK266" s="1294"/>
      <c r="AL266" s="3"/>
      <c r="AM266" s="3"/>
      <c r="AN266" s="3"/>
      <c r="AO266" s="3"/>
      <c r="AP266" s="3"/>
      <c r="AQ266" s="3"/>
      <c r="AR266" s="3"/>
      <c r="AS266" s="3"/>
      <c r="AT266" s="3"/>
      <c r="AU266" s="3"/>
      <c r="AV266" s="3"/>
      <c r="AW266" s="3"/>
      <c r="AX266" s="3"/>
      <c r="AY266" s="3"/>
    </row>
    <row r="267" spans="1:66" ht="12.9"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 customHeight="1">
      <c r="A268" s="13"/>
      <c r="B268" s="4"/>
      <c r="C268" s="56" t="s">
        <v>1218</v>
      </c>
      <c r="D268" s="4" t="s">
        <v>1200</v>
      </c>
      <c r="E268" s="4"/>
      <c r="F268" s="4"/>
      <c r="G268" s="4"/>
      <c r="H268" s="4"/>
      <c r="I268" s="4"/>
      <c r="J268" s="4"/>
      <c r="K268" s="4"/>
      <c r="L268" s="4"/>
      <c r="M268" s="1465"/>
      <c r="N268" s="1294"/>
      <c r="O268" s="1294"/>
      <c r="P268" s="1294"/>
      <c r="Q268" s="1294"/>
      <c r="R268" s="1294"/>
      <c r="S268" s="1294"/>
      <c r="T268" s="1294"/>
      <c r="U268" s="1294"/>
      <c r="V268" s="1294"/>
      <c r="W268" s="1294"/>
      <c r="X268" s="1294"/>
      <c r="Y268" s="1294"/>
      <c r="Z268" s="1294"/>
      <c r="AA268" s="1294"/>
      <c r="AB268" s="1294"/>
      <c r="AC268" s="1294"/>
      <c r="AD268" s="1294"/>
      <c r="AE268" s="1294"/>
      <c r="AF268" s="1465" t="s">
        <v>444</v>
      </c>
      <c r="AG268" s="1294"/>
      <c r="AH268" s="1294"/>
      <c r="AI268" s="1294"/>
      <c r="AJ268" s="1294"/>
      <c r="AK268" s="1294"/>
      <c r="AL268" s="3"/>
      <c r="AM268" s="3"/>
      <c r="AN268" s="3"/>
      <c r="AO268" s="3"/>
      <c r="AP268" s="3"/>
      <c r="AQ268" s="3"/>
      <c r="AR268" s="3"/>
      <c r="AS268" s="3"/>
      <c r="AT268" s="3"/>
      <c r="AU268" s="3"/>
      <c r="AV268" s="3"/>
      <c r="AW268" s="3"/>
      <c r="AX268" s="3"/>
      <c r="AY268" s="3"/>
    </row>
    <row r="269" spans="1:66" ht="12.9" customHeight="1">
      <c r="A269" s="13"/>
      <c r="B269" s="4"/>
      <c r="C269" s="4"/>
      <c r="D269" s="4" t="s">
        <v>1181</v>
      </c>
      <c r="E269" s="4"/>
      <c r="F269" s="4"/>
      <c r="G269" s="4"/>
      <c r="H269" s="4"/>
      <c r="I269" s="4"/>
      <c r="J269" s="4"/>
      <c r="K269" s="4"/>
      <c r="L269" s="4"/>
      <c r="M269" s="1407"/>
      <c r="N269" s="1294"/>
      <c r="O269" s="1294"/>
      <c r="P269" s="1294"/>
      <c r="Q269" s="1294"/>
      <c r="R269" s="1294"/>
      <c r="S269" s="1294"/>
      <c r="T269" s="1294"/>
      <c r="U269" s="1294"/>
      <c r="V269" s="1294"/>
      <c r="W269" s="1294"/>
      <c r="X269" s="1294"/>
      <c r="Y269" s="1294"/>
      <c r="Z269" s="1294"/>
      <c r="AA269" s="1294"/>
      <c r="AB269" s="1294"/>
      <c r="AC269" s="1294"/>
      <c r="AD269" s="1294"/>
      <c r="AE269" s="1294"/>
      <c r="AF269" s="3" t="s">
        <v>1204</v>
      </c>
      <c r="AL269" s="3"/>
      <c r="AM269" s="3"/>
      <c r="AN269" s="3"/>
      <c r="AO269" s="3"/>
      <c r="AP269" s="3"/>
      <c r="AQ269" s="3"/>
      <c r="AR269" s="3"/>
      <c r="AS269" s="3"/>
      <c r="AT269" s="3"/>
      <c r="AU269" s="3"/>
      <c r="AV269" s="3"/>
      <c r="AW269" s="3"/>
      <c r="AX269" s="3"/>
      <c r="AY269" s="3"/>
    </row>
    <row r="270" spans="1:66" ht="12.9" customHeight="1">
      <c r="A270" s="13"/>
      <c r="B270" s="4"/>
      <c r="C270" s="4"/>
      <c r="D270" s="4" t="s">
        <v>1049</v>
      </c>
      <c r="E270" s="4"/>
      <c r="M270" s="1407"/>
      <c r="N270" s="1294"/>
      <c r="O270" s="1294"/>
      <c r="P270" s="1294"/>
      <c r="Q270" s="1294"/>
      <c r="R270" s="1294"/>
      <c r="S270" s="1294"/>
      <c r="T270" s="1294"/>
      <c r="V270" s="33" t="s">
        <v>1183</v>
      </c>
      <c r="W270" s="1440"/>
      <c r="X270" s="1374"/>
      <c r="Y270" s="4" t="s">
        <v>1052</v>
      </c>
      <c r="AC270" s="1407"/>
      <c r="AD270" s="1294"/>
      <c r="AE270" s="1294"/>
      <c r="AF270" s="3" t="s">
        <v>1207</v>
      </c>
      <c r="AL270" s="3"/>
      <c r="AM270" s="3"/>
      <c r="AN270" s="3"/>
      <c r="AO270" s="3"/>
      <c r="AP270" s="3"/>
      <c r="AQ270" s="3"/>
      <c r="AR270" s="3"/>
      <c r="AS270" s="3"/>
      <c r="AT270" s="3"/>
      <c r="AU270" s="3"/>
      <c r="AV270" s="3"/>
      <c r="AW270" s="3"/>
      <c r="AX270" s="3"/>
      <c r="AY270" s="3"/>
    </row>
    <row r="271" spans="1:66" ht="12.9" customHeight="1">
      <c r="A271" s="13"/>
      <c r="B271" s="4"/>
      <c r="C271" s="4"/>
      <c r="D271" s="4" t="s">
        <v>1185</v>
      </c>
      <c r="E271" s="4"/>
      <c r="F271" s="4"/>
      <c r="G271" s="4"/>
      <c r="H271" s="4"/>
      <c r="I271" s="4"/>
      <c r="J271" s="4"/>
      <c r="K271" s="4"/>
      <c r="L271" s="19"/>
      <c r="M271" s="1407"/>
      <c r="N271" s="1294"/>
      <c r="O271" s="1294"/>
      <c r="P271" s="1294"/>
      <c r="Q271" s="1294"/>
      <c r="R271" s="1294"/>
      <c r="S271" s="1294"/>
      <c r="T271" s="1294"/>
      <c r="U271" s="1294"/>
      <c r="V271" s="1294"/>
      <c r="W271" s="1294"/>
      <c r="X271" s="1294"/>
      <c r="Y271" s="1294"/>
      <c r="Z271" s="1294"/>
      <c r="AA271" s="1294"/>
      <c r="AB271" s="1294"/>
      <c r="AC271" s="1294"/>
      <c r="AD271" s="1294"/>
      <c r="AE271" s="1294"/>
      <c r="AH271" s="1433"/>
      <c r="AI271" s="1294"/>
      <c r="AJ271" s="1294"/>
      <c r="AK271" s="1294"/>
      <c r="AL271" s="3"/>
      <c r="AM271" s="3"/>
      <c r="AN271" s="3"/>
      <c r="AO271" s="3"/>
      <c r="AP271" s="3"/>
      <c r="AQ271" s="3"/>
      <c r="AR271" s="3"/>
      <c r="AS271" s="3"/>
      <c r="AT271" s="3"/>
      <c r="AU271" s="3"/>
      <c r="AV271" s="3"/>
      <c r="AW271" s="3"/>
      <c r="AX271" s="3"/>
      <c r="AY271" s="3"/>
    </row>
    <row r="272" spans="1:66" ht="12.9" customHeight="1">
      <c r="A272" s="13"/>
      <c r="B272" s="4"/>
      <c r="C272" s="4"/>
      <c r="D272" s="4" t="s">
        <v>1187</v>
      </c>
      <c r="E272" s="4"/>
      <c r="F272" s="4"/>
      <c r="M272" s="1430"/>
      <c r="N272" s="1374"/>
      <c r="O272" s="1374"/>
      <c r="P272" s="1374"/>
      <c r="Q272" s="1374"/>
      <c r="R272" s="1374"/>
      <c r="S272" s="4" t="s">
        <v>1188</v>
      </c>
      <c r="T272" s="4"/>
      <c r="U272" s="1440"/>
      <c r="V272" s="1374"/>
      <c r="W272" s="1374"/>
      <c r="X272" s="4" t="s">
        <v>1189</v>
      </c>
      <c r="Z272" s="1430"/>
      <c r="AA272" s="1374"/>
      <c r="AB272" s="1374"/>
      <c r="AC272" s="1374"/>
      <c r="AD272" s="1374"/>
      <c r="AE272" s="1374"/>
      <c r="AL272" s="3"/>
      <c r="AM272" s="3"/>
      <c r="AN272" s="3"/>
      <c r="AO272" s="3"/>
      <c r="AP272" s="3"/>
      <c r="AQ272" s="3"/>
      <c r="AR272" s="3"/>
      <c r="AS272" s="3"/>
      <c r="AT272" s="3"/>
      <c r="AU272" s="3"/>
      <c r="AV272" s="3"/>
      <c r="AW272" s="3"/>
      <c r="AX272" s="3"/>
      <c r="AY272" s="3"/>
    </row>
    <row r="273" spans="1:51" ht="12.9" customHeight="1">
      <c r="A273" s="13"/>
      <c r="B273" s="4"/>
      <c r="C273" s="4"/>
      <c r="D273" s="4" t="s">
        <v>1191</v>
      </c>
      <c r="E273" s="4"/>
      <c r="F273" s="4"/>
      <c r="M273" s="1522"/>
      <c r="N273" s="1294"/>
      <c r="O273" s="1294"/>
      <c r="P273" s="1294"/>
      <c r="Q273" s="1294"/>
      <c r="R273" s="1294"/>
      <c r="S273" s="1294"/>
      <c r="T273" s="1294"/>
      <c r="U273" s="1294"/>
      <c r="V273" s="1294"/>
      <c r="W273" s="1294"/>
      <c r="X273" s="1294"/>
      <c r="Y273" s="1294"/>
      <c r="Z273" s="1294"/>
      <c r="AA273" s="1294"/>
      <c r="AB273" s="1294"/>
      <c r="AC273" s="1294"/>
      <c r="AD273" s="1294"/>
      <c r="AE273" s="1294"/>
      <c r="AG273" s="4"/>
      <c r="AH273" s="4"/>
      <c r="AI273" s="4"/>
      <c r="AJ273" s="4"/>
      <c r="AK273" s="4"/>
      <c r="AL273" s="3"/>
      <c r="AM273" s="3"/>
      <c r="AN273" s="3"/>
      <c r="AO273" s="3"/>
      <c r="AP273" s="3"/>
      <c r="AQ273" s="3"/>
      <c r="AR273" s="3"/>
      <c r="AS273" s="3"/>
      <c r="AT273" s="3"/>
      <c r="AU273" s="3"/>
      <c r="AV273" s="3"/>
      <c r="AW273" s="3"/>
      <c r="AX273" s="3"/>
      <c r="AY273" s="3"/>
    </row>
    <row r="274" spans="1:51" ht="12.9" customHeight="1">
      <c r="A274" s="13"/>
      <c r="B274" s="4"/>
      <c r="C274" s="56"/>
      <c r="D274" s="4" t="s">
        <v>1213</v>
      </c>
      <c r="E274" s="4"/>
      <c r="F274" s="4"/>
      <c r="G274" s="4"/>
      <c r="H274" s="4"/>
      <c r="I274" s="4"/>
      <c r="J274" s="4"/>
      <c r="K274" s="4"/>
      <c r="L274" s="4"/>
      <c r="M274" s="1400" t="s">
        <v>444</v>
      </c>
      <c r="N274" s="1374"/>
      <c r="O274" s="1374"/>
      <c r="P274" s="1374"/>
      <c r="Q274" s="1374"/>
      <c r="R274" s="1374"/>
      <c r="S274" s="1374"/>
      <c r="T274" s="1374"/>
      <c r="U274" s="204" t="s">
        <v>1194</v>
      </c>
      <c r="V274" s="204"/>
      <c r="W274" s="204"/>
      <c r="X274" s="204"/>
      <c r="Y274" s="204"/>
      <c r="Z274" s="204"/>
      <c r="AA274" s="1593"/>
      <c r="AB274" s="1374"/>
      <c r="AC274" s="1374"/>
      <c r="AD274" s="1374"/>
      <c r="AE274" s="1374"/>
      <c r="AF274" s="1374"/>
      <c r="AG274" s="1374"/>
      <c r="AH274" s="1374"/>
      <c r="AI274" s="1374"/>
      <c r="AJ274" s="1374"/>
      <c r="AK274" s="1374"/>
      <c r="AL274" s="3"/>
      <c r="AM274" s="3"/>
      <c r="AN274" s="3"/>
      <c r="AO274" s="3"/>
      <c r="AP274" s="3"/>
      <c r="AQ274" s="3"/>
      <c r="AR274" s="3"/>
      <c r="AS274" s="3"/>
      <c r="AT274" s="3"/>
    </row>
    <row r="275" spans="1:51" ht="12.9"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 customHeight="1">
      <c r="A276" s="57" t="s">
        <v>1135</v>
      </c>
      <c r="B276" s="4"/>
      <c r="C276" s="2" t="s">
        <v>1219</v>
      </c>
      <c r="D276" s="4"/>
      <c r="E276" s="4"/>
      <c r="F276" s="4"/>
      <c r="G276" s="4"/>
      <c r="H276" s="4"/>
      <c r="I276" s="4"/>
      <c r="J276" s="4"/>
      <c r="K276" s="4"/>
      <c r="L276" s="4"/>
      <c r="M276" s="35"/>
      <c r="N276" s="35"/>
      <c r="O276" s="35"/>
      <c r="P276" s="35"/>
      <c r="Q276" s="35"/>
      <c r="T276" s="1581" t="str">
        <f>IFERROR(BO254,"")</f>
        <v>Joint Venture</v>
      </c>
      <c r="U276" s="1405"/>
      <c r="V276" s="1405"/>
      <c r="W276" s="1405"/>
      <c r="X276" s="1405"/>
      <c r="Z276" s="307" t="s">
        <v>1220</v>
      </c>
      <c r="AA276" s="308"/>
      <c r="AB276" s="308"/>
      <c r="AC276" s="308"/>
      <c r="AD276" s="105"/>
      <c r="AE276" s="105"/>
      <c r="AF276" s="105"/>
      <c r="AG276" s="105"/>
      <c r="AH276" s="105"/>
      <c r="AI276" s="105"/>
      <c r="AJ276" s="105"/>
      <c r="AK276" s="309"/>
      <c r="AL276" s="58"/>
    </row>
    <row r="277" spans="1:51" ht="12.9" customHeight="1">
      <c r="A277" s="2"/>
      <c r="B277" s="4"/>
      <c r="C277" s="2"/>
      <c r="I277" s="4"/>
      <c r="J277" s="4"/>
      <c r="K277" s="4"/>
      <c r="L277" s="4"/>
      <c r="M277" s="35"/>
      <c r="N277" s="35"/>
      <c r="O277" s="35"/>
      <c r="P277" s="35"/>
      <c r="Q277" s="35"/>
      <c r="T277" s="4"/>
      <c r="U277" s="4"/>
      <c r="V277" s="4"/>
      <c r="W277" s="35"/>
      <c r="Z277" s="310" t="s">
        <v>1221</v>
      </c>
      <c r="AF277" s="4"/>
      <c r="AG277" s="4"/>
      <c r="AH277" s="4"/>
      <c r="AI277" s="4"/>
      <c r="AJ277" s="4"/>
      <c r="AL277" s="65"/>
    </row>
    <row r="278" spans="1:51" ht="12.9" customHeight="1">
      <c r="A278" s="2" t="s">
        <v>1162</v>
      </c>
      <c r="B278" s="4"/>
      <c r="C278" s="2" t="s">
        <v>236</v>
      </c>
      <c r="D278" s="4"/>
      <c r="E278" s="4"/>
      <c r="F278" s="4"/>
      <c r="G278" s="4"/>
      <c r="H278" s="4"/>
      <c r="I278" s="4"/>
      <c r="J278" s="4"/>
      <c r="K278" s="4"/>
      <c r="L278" s="4"/>
      <c r="M278" s="4"/>
      <c r="N278" s="4"/>
      <c r="O278" s="4"/>
      <c r="P278" s="4"/>
      <c r="Q278" s="4"/>
      <c r="R278" s="4"/>
      <c r="S278" s="4"/>
      <c r="T278" s="4"/>
      <c r="U278" s="4"/>
      <c r="V278" s="4"/>
      <c r="W278" s="4"/>
      <c r="Z278" s="311" t="s">
        <v>1222</v>
      </c>
      <c r="AA278" s="48"/>
      <c r="AB278" s="48"/>
      <c r="AC278" s="48"/>
      <c r="AD278" s="48"/>
      <c r="AE278" s="48"/>
      <c r="AF278" s="104"/>
      <c r="AG278" s="104"/>
      <c r="AH278" s="104"/>
      <c r="AI278" s="104"/>
      <c r="AJ278" s="104"/>
      <c r="AK278" s="48"/>
      <c r="AL278" s="49"/>
    </row>
    <row r="279" spans="1:51" ht="12.9" customHeight="1">
      <c r="A279" s="4"/>
      <c r="B279" s="36">
        <v>0</v>
      </c>
      <c r="D279" s="1407" t="s">
        <v>1210</v>
      </c>
      <c r="E279" s="1294"/>
      <c r="F279" s="1294"/>
      <c r="G279" s="1294"/>
      <c r="H279" s="1294"/>
      <c r="J279" t="s">
        <v>1223</v>
      </c>
      <c r="X279" s="1543">
        <v>46174</v>
      </c>
      <c r="Y279" s="1294"/>
      <c r="Z279" s="1294"/>
      <c r="AA279" s="1294"/>
      <c r="AB279" s="1294"/>
      <c r="AC279" s="1294"/>
      <c r="AU279" s="3"/>
      <c r="AV279" s="3"/>
      <c r="AW279" s="3"/>
      <c r="AX279" s="3"/>
      <c r="AY279" s="3"/>
    </row>
    <row r="280" spans="1:51" ht="12.9" customHeight="1">
      <c r="A280" s="4"/>
      <c r="B280" s="19"/>
      <c r="D280" s="37" t="s">
        <v>1224</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 customHeight="1">
      <c r="A282" s="2" t="s">
        <v>1225</v>
      </c>
      <c r="B282" s="2"/>
      <c r="C282" s="2" t="s">
        <v>240</v>
      </c>
      <c r="D282" s="4"/>
      <c r="E282" s="4"/>
      <c r="F282" s="4"/>
      <c r="G282" s="4"/>
      <c r="H282" s="4"/>
      <c r="I282" s="4"/>
      <c r="J282" s="4"/>
      <c r="K282" s="4"/>
      <c r="L282" s="4"/>
      <c r="M282" s="4"/>
      <c r="N282" s="4"/>
      <c r="O282" s="4"/>
      <c r="P282" s="4"/>
      <c r="Q282" s="4"/>
      <c r="R282" s="4"/>
      <c r="S282" s="4"/>
      <c r="T282" s="4"/>
      <c r="AU282" s="3"/>
      <c r="AV282" s="3"/>
      <c r="AW282" s="3"/>
      <c r="AX282" s="3"/>
      <c r="AY282" s="3"/>
    </row>
    <row r="283" spans="1:51" ht="12.9" customHeight="1">
      <c r="D283" s="4" t="s">
        <v>1226</v>
      </c>
      <c r="E283" s="4"/>
      <c r="F283" s="4"/>
      <c r="G283" s="4"/>
      <c r="H283" s="4"/>
      <c r="I283" s="4"/>
      <c r="J283" s="4"/>
      <c r="K283" s="4"/>
      <c r="L283" s="1465" t="s">
        <v>1227</v>
      </c>
      <c r="M283" s="1294"/>
      <c r="N283" s="1294"/>
      <c r="O283" s="1294"/>
      <c r="P283" s="1294"/>
      <c r="Q283" s="1294"/>
      <c r="R283" s="1294"/>
      <c r="S283" s="1294"/>
      <c r="T283" s="1294"/>
      <c r="U283" s="1294"/>
      <c r="V283" s="1294"/>
      <c r="W283" s="1294"/>
      <c r="X283" s="1294"/>
      <c r="Y283" s="1294"/>
      <c r="Z283" s="1294"/>
      <c r="AA283" s="1294"/>
      <c r="AB283" s="1294"/>
      <c r="AC283" s="1294"/>
      <c r="AD283" s="1294"/>
      <c r="AE283" s="1294"/>
      <c r="AF283" s="1294"/>
      <c r="AG283" s="1294"/>
      <c r="AH283" s="1294"/>
      <c r="AI283" s="1294"/>
      <c r="AJ283" s="1294"/>
      <c r="AK283" s="3"/>
      <c r="AL283" s="3"/>
      <c r="AM283" s="3"/>
      <c r="AN283" s="3"/>
      <c r="AO283" s="3"/>
      <c r="AP283" s="3"/>
      <c r="AQ283" s="3"/>
      <c r="AR283" s="3"/>
      <c r="AS283" s="3"/>
      <c r="AT283" s="3"/>
      <c r="AU283" s="3"/>
      <c r="AV283" s="3"/>
      <c r="AW283" s="3"/>
      <c r="AX283" s="3"/>
      <c r="AY283" s="3"/>
    </row>
    <row r="284" spans="1:51" ht="12.9" customHeight="1">
      <c r="D284" s="4" t="s">
        <v>1181</v>
      </c>
      <c r="E284" s="4"/>
      <c r="F284" s="4"/>
      <c r="G284" s="4"/>
      <c r="H284" s="4"/>
      <c r="I284" s="4"/>
      <c r="J284" s="4"/>
      <c r="K284" s="4"/>
      <c r="L284" s="1407" t="s">
        <v>1182</v>
      </c>
      <c r="M284" s="1294"/>
      <c r="N284" s="1294"/>
      <c r="O284" s="1294"/>
      <c r="P284" s="1294"/>
      <c r="Q284" s="1294"/>
      <c r="R284" s="1294"/>
      <c r="S284" s="1294"/>
      <c r="T284" s="1294"/>
      <c r="U284" s="1294"/>
      <c r="V284" s="1294"/>
      <c r="W284" s="1294"/>
      <c r="X284" s="1294"/>
      <c r="Y284" s="1294"/>
      <c r="Z284" s="1294"/>
      <c r="AA284" s="1294"/>
      <c r="AB284" s="1294"/>
      <c r="AC284" s="1294"/>
      <c r="AD284" s="1294"/>
      <c r="AK284" s="3"/>
      <c r="AL284" s="3"/>
      <c r="AM284" s="3"/>
      <c r="AN284" s="3"/>
      <c r="AO284" s="3"/>
      <c r="AP284" s="3"/>
      <c r="AQ284" s="3"/>
      <c r="AR284" s="3"/>
      <c r="AS284" s="3"/>
      <c r="AT284" s="3"/>
      <c r="AU284" s="3"/>
      <c r="AV284" s="3"/>
      <c r="AW284" s="3"/>
      <c r="AX284" s="3"/>
      <c r="AY284" s="3"/>
    </row>
    <row r="285" spans="1:51" ht="12.9" customHeight="1">
      <c r="D285" s="4" t="s">
        <v>1049</v>
      </c>
      <c r="E285" s="4"/>
      <c r="L285" s="1407" t="s">
        <v>1217</v>
      </c>
      <c r="M285" s="1294"/>
      <c r="N285" s="1294"/>
      <c r="O285" s="1294"/>
      <c r="P285" s="1294"/>
      <c r="Q285" s="1294"/>
      <c r="R285" s="1294"/>
      <c r="S285" s="1294"/>
      <c r="U285" s="33" t="s">
        <v>1183</v>
      </c>
      <c r="V285" s="1440" t="s">
        <v>1184</v>
      </c>
      <c r="W285" s="1374"/>
      <c r="X285" s="4" t="s">
        <v>1052</v>
      </c>
      <c r="AB285" s="1407">
        <v>90245</v>
      </c>
      <c r="AC285" s="1294"/>
      <c r="AD285" s="1294"/>
      <c r="AK285" s="3"/>
      <c r="AL285" s="3"/>
      <c r="AM285" s="3"/>
      <c r="AN285" s="3"/>
      <c r="AO285" s="3"/>
      <c r="AP285" s="3"/>
      <c r="AQ285" s="3"/>
      <c r="AR285" s="3"/>
      <c r="AS285" s="3"/>
      <c r="AT285" s="3"/>
      <c r="AU285" s="3"/>
      <c r="AV285" s="3"/>
      <c r="AW285" s="3"/>
      <c r="AX285" s="3"/>
      <c r="AY285" s="3"/>
    </row>
    <row r="286" spans="1:51" ht="12.9" customHeight="1">
      <c r="D286" s="4" t="s">
        <v>1185</v>
      </c>
      <c r="E286" s="4"/>
      <c r="F286" s="4"/>
      <c r="G286" s="4"/>
      <c r="H286" s="4"/>
      <c r="I286" s="4"/>
      <c r="J286" s="4"/>
      <c r="K286" s="19"/>
      <c r="L286" s="1407" t="s">
        <v>1186</v>
      </c>
      <c r="M286" s="1294"/>
      <c r="N286" s="1294"/>
      <c r="O286" s="1294"/>
      <c r="P286" s="1294"/>
      <c r="Q286" s="1294"/>
      <c r="R286" s="1294"/>
      <c r="S286" s="1294"/>
      <c r="T286" s="1294"/>
      <c r="U286" s="1294"/>
      <c r="V286" s="1294"/>
      <c r="W286" s="1294"/>
      <c r="X286" s="1294"/>
      <c r="Y286" s="1294"/>
      <c r="Z286" s="1294"/>
      <c r="AA286" s="1294"/>
      <c r="AB286" s="1294"/>
      <c r="AC286" s="1294"/>
      <c r="AD286" s="1294"/>
      <c r="AI286" s="4"/>
      <c r="AJ286" s="4"/>
      <c r="AK286" s="3"/>
      <c r="AL286" s="3"/>
      <c r="AM286" s="3"/>
      <c r="AN286" s="3"/>
      <c r="AO286" s="3"/>
      <c r="AP286" s="3"/>
      <c r="AQ286" s="3"/>
      <c r="AR286" s="3"/>
      <c r="AS286" s="3"/>
      <c r="AT286" s="3"/>
    </row>
    <row r="287" spans="1:51" ht="12.9" customHeight="1">
      <c r="D287" s="4" t="s">
        <v>1187</v>
      </c>
      <c r="E287" s="4"/>
      <c r="F287" s="4"/>
      <c r="L287" s="1430">
        <v>3234971705</v>
      </c>
      <c r="M287" s="1374"/>
      <c r="N287" s="1374"/>
      <c r="O287" s="1374"/>
      <c r="P287" s="1374"/>
      <c r="Q287" s="1374"/>
      <c r="R287" s="4" t="s">
        <v>1188</v>
      </c>
      <c r="S287" s="4"/>
      <c r="T287" s="1440"/>
      <c r="U287" s="1374"/>
      <c r="V287" s="1374"/>
      <c r="W287" s="4" t="s">
        <v>1189</v>
      </c>
      <c r="Y287" s="1430"/>
      <c r="Z287" s="1374"/>
      <c r="AA287" s="1374"/>
      <c r="AB287" s="1374"/>
      <c r="AC287" s="1374"/>
      <c r="AD287" s="1374"/>
    </row>
    <row r="288" spans="1:51" ht="12.9" customHeight="1">
      <c r="D288" s="4" t="s">
        <v>1191</v>
      </c>
      <c r="E288" s="4"/>
      <c r="F288" s="4"/>
      <c r="L288" s="1522" t="s">
        <v>1192</v>
      </c>
      <c r="M288" s="1294"/>
      <c r="N288" s="1294"/>
      <c r="O288" s="1294"/>
      <c r="P288" s="1294"/>
      <c r="Q288" s="1294"/>
      <c r="R288" s="1294"/>
      <c r="S288" s="1294"/>
      <c r="T288" s="1294"/>
      <c r="U288" s="1294"/>
      <c r="V288" s="1294"/>
      <c r="W288" s="1294"/>
      <c r="X288" s="1294"/>
      <c r="Y288" s="1294"/>
      <c r="Z288" s="1294"/>
      <c r="AA288" s="1294"/>
      <c r="AB288" s="1294"/>
      <c r="AC288" s="1294"/>
      <c r="AD288" s="1294"/>
      <c r="AF288" s="4"/>
      <c r="AG288" s="4"/>
      <c r="AH288" s="4"/>
      <c r="AI288" s="4"/>
      <c r="AJ288" s="4"/>
      <c r="AU288" s="3"/>
      <c r="AV288" s="3"/>
      <c r="AW288" s="3"/>
      <c r="AX288" s="3"/>
      <c r="AY288" s="3"/>
    </row>
    <row r="289" spans="1:51" ht="12.9" customHeight="1">
      <c r="D289" s="3" t="s">
        <v>1228</v>
      </c>
      <c r="E289" s="3"/>
      <c r="F289" s="3"/>
      <c r="G289" s="3"/>
      <c r="H289" s="3"/>
      <c r="I289" s="3"/>
      <c r="L289" s="1431" t="s">
        <v>1229</v>
      </c>
      <c r="M289" s="1374"/>
      <c r="N289" s="1374"/>
      <c r="O289" s="1374"/>
      <c r="P289" s="1374"/>
      <c r="Q289" s="1374"/>
      <c r="R289" s="1374"/>
      <c r="S289" s="1374"/>
      <c r="T289" s="1374"/>
      <c r="U289" s="1374"/>
      <c r="V289" s="1374"/>
      <c r="W289" s="1374"/>
      <c r="X289" s="1374"/>
      <c r="Y289" s="1374"/>
      <c r="Z289" s="1374"/>
      <c r="AA289" s="1374"/>
      <c r="AB289" s="1374"/>
      <c r="AC289" s="1374"/>
      <c r="AD289" s="1374"/>
      <c r="AK289" s="3"/>
      <c r="AL289" s="3"/>
      <c r="AM289" s="3"/>
      <c r="AN289" s="3"/>
      <c r="AO289" s="3"/>
      <c r="AP289" s="3"/>
      <c r="AQ289" s="3"/>
      <c r="AR289" s="3"/>
      <c r="AS289" s="3"/>
      <c r="AT289" s="3"/>
    </row>
    <row r="290" spans="1:51" ht="12.9" customHeight="1">
      <c r="L290" s="22" t="s">
        <v>1230</v>
      </c>
      <c r="AU290" s="95"/>
      <c r="AV290" s="95"/>
      <c r="AW290" s="95"/>
      <c r="AX290" s="95"/>
      <c r="AY290" s="95"/>
    </row>
    <row r="291" spans="1:51" ht="12.9" customHeight="1">
      <c r="A291" s="1462" t="s">
        <v>1231</v>
      </c>
      <c r="B291" s="1298"/>
      <c r="C291" s="1298"/>
      <c r="D291" s="1298"/>
      <c r="E291" s="1298"/>
      <c r="F291" s="1298"/>
      <c r="G291" s="1298"/>
      <c r="H291" s="1298"/>
      <c r="I291" s="1298"/>
      <c r="J291" s="1298"/>
      <c r="K291" s="1298"/>
      <c r="L291" s="1298"/>
      <c r="M291" s="1298"/>
      <c r="N291" s="1298"/>
      <c r="O291" s="1298"/>
      <c r="P291" s="1298"/>
      <c r="Q291" s="1298"/>
      <c r="R291" s="1298"/>
      <c r="S291" s="1298"/>
      <c r="T291" s="1298"/>
      <c r="U291" s="1298"/>
      <c r="V291" s="1298"/>
      <c r="W291" s="1298"/>
      <c r="X291" s="1298"/>
      <c r="Y291" s="1298"/>
      <c r="Z291" s="1298"/>
      <c r="AA291" s="1298"/>
      <c r="AB291" s="1298"/>
      <c r="AC291" s="1298"/>
      <c r="AD291" s="1298"/>
      <c r="AE291" s="1298"/>
      <c r="AF291" s="1298"/>
      <c r="AG291" s="1298"/>
      <c r="AH291" s="1298"/>
      <c r="AI291" s="1298"/>
      <c r="AJ291" s="1298"/>
      <c r="AK291" s="1298"/>
      <c r="AL291" s="1298"/>
      <c r="AM291" s="1298"/>
      <c r="AN291" s="1298"/>
      <c r="AO291" s="1298"/>
      <c r="AP291" s="1298"/>
      <c r="AQ291" s="1298"/>
      <c r="AR291" s="1298"/>
      <c r="AS291" s="1298"/>
      <c r="AT291" s="1298"/>
      <c r="AU291" s="95"/>
      <c r="AV291" s="95"/>
      <c r="AW291" s="95"/>
      <c r="AX291" s="95"/>
      <c r="AY291" s="95"/>
    </row>
    <row r="292" spans="1:51" ht="12.9" customHeight="1">
      <c r="A292" s="1298"/>
      <c r="B292" s="1298"/>
      <c r="C292" s="1298"/>
      <c r="D292" s="1298"/>
      <c r="E292" s="1298"/>
      <c r="F292" s="1298"/>
      <c r="G292" s="1298"/>
      <c r="H292" s="1298"/>
      <c r="I292" s="1298"/>
      <c r="J292" s="1298"/>
      <c r="K292" s="1298"/>
      <c r="L292" s="1298"/>
      <c r="M292" s="1298"/>
      <c r="N292" s="1298"/>
      <c r="O292" s="1298"/>
      <c r="P292" s="1298"/>
      <c r="Q292" s="1298"/>
      <c r="R292" s="1298"/>
      <c r="S292" s="1298"/>
      <c r="T292" s="1298"/>
      <c r="U292" s="1298"/>
      <c r="V292" s="1298"/>
      <c r="W292" s="1298"/>
      <c r="X292" s="1298"/>
      <c r="Y292" s="1298"/>
      <c r="Z292" s="1298"/>
      <c r="AA292" s="1298"/>
      <c r="AB292" s="1298"/>
      <c r="AC292" s="1298"/>
      <c r="AD292" s="1298"/>
      <c r="AE292" s="1298"/>
      <c r="AF292" s="1298"/>
      <c r="AG292" s="1298"/>
      <c r="AH292" s="1298"/>
      <c r="AI292" s="1298"/>
      <c r="AJ292" s="1298"/>
      <c r="AK292" s="1298"/>
      <c r="AL292" s="1298"/>
      <c r="AM292" s="1298"/>
      <c r="AN292" s="1298"/>
      <c r="AO292" s="1298"/>
      <c r="AP292" s="1298"/>
      <c r="AQ292" s="1298"/>
      <c r="AR292" s="1298"/>
      <c r="AS292" s="1298"/>
      <c r="AT292" s="1298"/>
      <c r="AU292" s="25"/>
      <c r="AV292" s="25"/>
      <c r="AW292" s="25"/>
      <c r="AX292" s="25"/>
      <c r="AY292" s="25"/>
    </row>
    <row r="293" spans="1:51" ht="12.9"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 customHeight="1">
      <c r="A294" s="2" t="s">
        <v>994</v>
      </c>
      <c r="C294" s="2" t="s">
        <v>1232</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 customHeight="1">
      <c r="B296" s="3" t="s">
        <v>1233</v>
      </c>
      <c r="C296" s="3"/>
      <c r="D296" s="3"/>
      <c r="E296" s="3"/>
      <c r="F296" s="3"/>
      <c r="H296" s="1389" t="s">
        <v>1234</v>
      </c>
      <c r="I296" s="1294"/>
      <c r="J296" s="1294"/>
      <c r="K296" s="1294"/>
      <c r="L296" s="1294"/>
      <c r="M296" s="1294"/>
      <c r="N296" s="1294"/>
      <c r="O296" s="1294"/>
      <c r="P296" s="1294"/>
      <c r="Q296" s="1294"/>
      <c r="R296" s="1294"/>
      <c r="T296" s="3" t="s">
        <v>1235</v>
      </c>
      <c r="V296" s="3"/>
      <c r="W296" s="3"/>
      <c r="X296" s="3"/>
      <c r="Y296" s="3"/>
      <c r="AA296" s="1389" t="s">
        <v>2735</v>
      </c>
      <c r="AB296" s="1294"/>
      <c r="AC296" s="1294"/>
      <c r="AD296" s="1294"/>
      <c r="AE296" s="1294"/>
      <c r="AF296" s="1294"/>
      <c r="AG296" s="1294"/>
      <c r="AH296" s="1294"/>
      <c r="AI296" s="1294"/>
      <c r="AJ296" s="1294"/>
      <c r="AK296" s="1294"/>
    </row>
    <row r="297" spans="1:51" ht="12.9" customHeight="1">
      <c r="B297" s="3" t="s">
        <v>1236</v>
      </c>
      <c r="C297" s="3"/>
      <c r="D297" s="3"/>
      <c r="E297" s="3"/>
      <c r="F297" s="3"/>
      <c r="H297" s="1400" t="s">
        <v>1182</v>
      </c>
      <c r="I297" s="1374"/>
      <c r="J297" s="1374"/>
      <c r="K297" s="1374"/>
      <c r="L297" s="1374"/>
      <c r="M297" s="1374"/>
      <c r="N297" s="1374"/>
      <c r="O297" s="1374"/>
      <c r="P297" s="1374"/>
      <c r="Q297" s="1374"/>
      <c r="R297" s="1374"/>
      <c r="T297" s="3" t="s">
        <v>1236</v>
      </c>
      <c r="V297" s="3"/>
      <c r="W297" s="3"/>
      <c r="X297" s="3"/>
      <c r="Y297" s="3"/>
      <c r="AA297" s="1431" t="s">
        <v>2780</v>
      </c>
      <c r="AB297" s="1374"/>
      <c r="AC297" s="1374"/>
      <c r="AD297" s="1374"/>
      <c r="AE297" s="1374"/>
      <c r="AF297" s="1374"/>
      <c r="AG297" s="1374"/>
      <c r="AH297" s="1374"/>
      <c r="AI297" s="1374"/>
      <c r="AJ297" s="1374"/>
      <c r="AK297" s="1374"/>
    </row>
    <row r="298" spans="1:51" ht="12.9" customHeight="1">
      <c r="B298" s="3" t="s">
        <v>1237</v>
      </c>
      <c r="C298" s="3"/>
      <c r="D298" s="3"/>
      <c r="E298" s="3"/>
      <c r="F298" s="3"/>
      <c r="H298" s="1400" t="s">
        <v>1238</v>
      </c>
      <c r="I298" s="1374"/>
      <c r="J298" s="1374"/>
      <c r="K298" s="1374"/>
      <c r="L298" s="1374"/>
      <c r="M298" s="1374"/>
      <c r="N298" s="1374"/>
      <c r="O298" s="1374"/>
      <c r="P298" s="1374"/>
      <c r="Q298" s="1374"/>
      <c r="R298" s="1374"/>
      <c r="T298" s="3" t="s">
        <v>1239</v>
      </c>
      <c r="V298" s="3"/>
      <c r="W298" s="3"/>
      <c r="X298" s="3"/>
      <c r="Y298" s="3"/>
      <c r="AA298" s="1431" t="s">
        <v>2781</v>
      </c>
      <c r="AB298" s="1374"/>
      <c r="AC298" s="1374"/>
      <c r="AD298" s="1374"/>
      <c r="AE298" s="1374"/>
      <c r="AF298" s="1374"/>
      <c r="AG298" s="1374"/>
      <c r="AH298" s="1374"/>
      <c r="AI298" s="1374"/>
      <c r="AJ298" s="1374"/>
      <c r="AK298" s="1374"/>
    </row>
    <row r="299" spans="1:51" ht="12.9" customHeight="1">
      <c r="B299" s="3" t="s">
        <v>1185</v>
      </c>
      <c r="C299" s="3"/>
      <c r="D299" s="3"/>
      <c r="E299" s="3"/>
      <c r="F299" s="3"/>
      <c r="H299" s="1400" t="s">
        <v>1186</v>
      </c>
      <c r="I299" s="1374"/>
      <c r="J299" s="1374"/>
      <c r="K299" s="1374"/>
      <c r="L299" s="1374"/>
      <c r="M299" s="1374"/>
      <c r="N299" s="1374"/>
      <c r="O299" s="1374"/>
      <c r="P299" s="1374"/>
      <c r="Q299" s="1374"/>
      <c r="R299" s="1374"/>
      <c r="T299" s="3" t="s">
        <v>1185</v>
      </c>
      <c r="V299" s="3"/>
      <c r="W299" s="3"/>
      <c r="X299" s="3"/>
      <c r="Y299" s="3"/>
      <c r="AA299" s="1400" t="s">
        <v>2736</v>
      </c>
      <c r="AB299" s="1374"/>
      <c r="AC299" s="1374"/>
      <c r="AD299" s="1374"/>
      <c r="AE299" s="1374"/>
      <c r="AF299" s="1374"/>
      <c r="AG299" s="1374"/>
      <c r="AH299" s="1374"/>
      <c r="AI299" s="1374"/>
      <c r="AJ299" s="1374"/>
      <c r="AK299" s="1374"/>
    </row>
    <row r="300" spans="1:51" ht="12.9" customHeight="1">
      <c r="B300" s="3" t="s">
        <v>1187</v>
      </c>
      <c r="C300" s="3"/>
      <c r="D300" s="3"/>
      <c r="E300" s="3"/>
      <c r="F300" s="3"/>
      <c r="G300" s="3"/>
      <c r="H300" s="1500">
        <v>3234971705</v>
      </c>
      <c r="I300" s="1294"/>
      <c r="J300" s="1294"/>
      <c r="K300" s="1294"/>
      <c r="L300" s="1294"/>
      <c r="M300" s="1294"/>
      <c r="N300" s="4" t="s">
        <v>1188</v>
      </c>
      <c r="O300" s="4"/>
      <c r="P300" s="1407"/>
      <c r="Q300" s="1294"/>
      <c r="R300" s="1294"/>
      <c r="S300" s="3"/>
      <c r="T300" s="3" t="s">
        <v>1187</v>
      </c>
      <c r="V300" s="3"/>
      <c r="W300" s="3"/>
      <c r="X300" s="3"/>
      <c r="Y300" s="3"/>
      <c r="AA300" s="1500">
        <v>3103997975</v>
      </c>
      <c r="AB300" s="1294"/>
      <c r="AC300" s="1294"/>
      <c r="AD300" s="1294"/>
      <c r="AE300" s="1294"/>
      <c r="AF300" s="1294"/>
      <c r="AG300" s="4" t="s">
        <v>1188</v>
      </c>
      <c r="AH300" s="4"/>
      <c r="AI300" s="1407">
        <v>324</v>
      </c>
      <c r="AJ300" s="1294"/>
      <c r="AK300" s="1294"/>
    </row>
    <row r="301" spans="1:51" ht="12.9" customHeight="1">
      <c r="B301" s="3" t="s">
        <v>1189</v>
      </c>
      <c r="C301" s="3"/>
      <c r="D301" s="3"/>
      <c r="E301" s="3"/>
      <c r="F301" s="3"/>
      <c r="G301" s="3"/>
      <c r="H301" s="1430"/>
      <c r="I301" s="1374"/>
      <c r="J301" s="1374"/>
      <c r="K301" s="1374"/>
      <c r="L301" s="1374"/>
      <c r="M301" s="1374"/>
      <c r="N301" s="4"/>
      <c r="O301" s="4"/>
      <c r="P301" s="35"/>
      <c r="Q301" s="35"/>
      <c r="R301" s="35"/>
      <c r="S301" s="3"/>
      <c r="T301" s="3" t="s">
        <v>1189</v>
      </c>
      <c r="V301" s="3"/>
      <c r="W301" s="3"/>
      <c r="X301" s="3"/>
      <c r="Y301" s="3"/>
      <c r="AA301" s="1430"/>
      <c r="AB301" s="1374"/>
      <c r="AC301" s="1374"/>
      <c r="AD301" s="1374"/>
      <c r="AE301" s="1374"/>
      <c r="AF301" s="1374"/>
      <c r="AG301" s="4"/>
      <c r="AH301" s="4"/>
      <c r="AI301" s="35"/>
      <c r="AJ301" s="35"/>
      <c r="AK301" s="35"/>
    </row>
    <row r="302" spans="1:51" ht="12.9" customHeight="1">
      <c r="B302" s="3" t="s">
        <v>1240</v>
      </c>
      <c r="C302" s="3"/>
      <c r="D302" s="3"/>
      <c r="E302" s="3"/>
      <c r="F302" s="3"/>
      <c r="G302" s="3"/>
      <c r="H302" s="1400" t="s">
        <v>1192</v>
      </c>
      <c r="I302" s="1374"/>
      <c r="J302" s="1374"/>
      <c r="K302" s="1374"/>
      <c r="L302" s="1374"/>
      <c r="M302" s="1374"/>
      <c r="N302" s="1374"/>
      <c r="O302" s="1374"/>
      <c r="P302" s="1374"/>
      <c r="Q302" s="1374"/>
      <c r="R302" s="1374"/>
      <c r="S302" s="3"/>
      <c r="T302" s="3" t="s">
        <v>1240</v>
      </c>
      <c r="V302" s="3"/>
      <c r="W302" s="3"/>
      <c r="X302" s="3"/>
      <c r="Y302" s="3"/>
      <c r="AA302" s="1431" t="s">
        <v>2782</v>
      </c>
      <c r="AB302" s="1374"/>
      <c r="AC302" s="1374"/>
      <c r="AD302" s="1374"/>
      <c r="AE302" s="1374"/>
      <c r="AF302" s="1374"/>
      <c r="AG302" s="1374"/>
      <c r="AH302" s="1374"/>
      <c r="AI302" s="1374"/>
      <c r="AJ302" s="1374"/>
      <c r="AK302" s="1374"/>
    </row>
    <row r="303" spans="1:51" ht="12.9"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 customHeight="1">
      <c r="B304" s="3" t="s">
        <v>1241</v>
      </c>
      <c r="C304" s="3"/>
      <c r="D304" s="3"/>
      <c r="E304" s="3"/>
      <c r="F304" s="3"/>
      <c r="H304" s="1389" t="s">
        <v>1242</v>
      </c>
      <c r="I304" s="1294"/>
      <c r="J304" s="1294"/>
      <c r="K304" s="1294"/>
      <c r="L304" s="1294"/>
      <c r="M304" s="1294"/>
      <c r="N304" s="1294"/>
      <c r="O304" s="1294"/>
      <c r="P304" s="1294"/>
      <c r="Q304" s="1294"/>
      <c r="R304" s="1294"/>
      <c r="T304" s="3" t="s">
        <v>1243</v>
      </c>
      <c r="V304" s="3"/>
      <c r="W304" s="3"/>
      <c r="X304" s="3"/>
      <c r="Y304" s="3"/>
      <c r="AA304" s="1389" t="s">
        <v>1244</v>
      </c>
      <c r="AB304" s="1294"/>
      <c r="AC304" s="1294"/>
      <c r="AD304" s="1294"/>
      <c r="AE304" s="1294"/>
      <c r="AF304" s="1294"/>
      <c r="AG304" s="1294"/>
      <c r="AH304" s="1294"/>
      <c r="AI304" s="1294"/>
      <c r="AJ304" s="1294"/>
      <c r="AK304" s="1294"/>
    </row>
    <row r="305" spans="2:72" ht="12.9" customHeight="1">
      <c r="B305" s="3" t="s">
        <v>1236</v>
      </c>
      <c r="C305" s="3"/>
      <c r="D305" s="3"/>
      <c r="E305" s="3"/>
      <c r="F305" s="3"/>
      <c r="H305" s="1400" t="s">
        <v>1245</v>
      </c>
      <c r="I305" s="1374"/>
      <c r="J305" s="1374"/>
      <c r="K305" s="1374"/>
      <c r="L305" s="1374"/>
      <c r="M305" s="1374"/>
      <c r="N305" s="1374"/>
      <c r="O305" s="1374"/>
      <c r="P305" s="1374"/>
      <c r="Q305" s="1374"/>
      <c r="R305" s="1374"/>
      <c r="T305" s="3" t="s">
        <v>1236</v>
      </c>
      <c r="V305" s="3"/>
      <c r="W305" s="3"/>
      <c r="X305" s="3"/>
      <c r="Y305" s="3"/>
      <c r="AA305" s="1400" t="s">
        <v>1246</v>
      </c>
      <c r="AB305" s="1374"/>
      <c r="AC305" s="1374"/>
      <c r="AD305" s="1374"/>
      <c r="AE305" s="1374"/>
      <c r="AF305" s="1374"/>
      <c r="AG305" s="1374"/>
      <c r="AH305" s="1374"/>
      <c r="AI305" s="1374"/>
      <c r="AJ305" s="1374"/>
      <c r="AK305" s="1374"/>
      <c r="AX305" s="1188"/>
      <c r="AY305" s="1188"/>
      <c r="AZ305" s="1188"/>
      <c r="BA305" s="1188"/>
      <c r="BB305" s="1188"/>
      <c r="BC305" s="1188"/>
      <c r="BD305" s="1188"/>
      <c r="BE305" s="1188"/>
      <c r="BF305" s="1188"/>
      <c r="BG305" s="1188"/>
      <c r="BH305" s="1188"/>
      <c r="BI305" s="1188"/>
      <c r="BJ305" s="1188"/>
      <c r="BK305" s="1188"/>
      <c r="BL305" s="1188"/>
      <c r="BM305" s="1188"/>
      <c r="BN305" s="1188"/>
      <c r="BO305" s="1188"/>
      <c r="BP305" s="1188"/>
      <c r="BQ305" s="1188"/>
      <c r="BR305" s="1188"/>
      <c r="BS305" s="1188"/>
      <c r="BT305" s="1188"/>
    </row>
    <row r="306" spans="2:72" ht="12.9" customHeight="1">
      <c r="B306" s="3" t="s">
        <v>1237</v>
      </c>
      <c r="C306" s="3"/>
      <c r="D306" s="3"/>
      <c r="E306" s="3"/>
      <c r="F306" s="3"/>
      <c r="H306" s="1400" t="s">
        <v>1247</v>
      </c>
      <c r="I306" s="1374"/>
      <c r="J306" s="1374"/>
      <c r="K306" s="1374"/>
      <c r="L306" s="1374"/>
      <c r="M306" s="1374"/>
      <c r="N306" s="1374"/>
      <c r="O306" s="1374"/>
      <c r="P306" s="1374"/>
      <c r="Q306" s="1374"/>
      <c r="R306" s="1374"/>
      <c r="T306" s="3" t="s">
        <v>1239</v>
      </c>
      <c r="V306" s="3"/>
      <c r="W306" s="3"/>
      <c r="X306" s="3"/>
      <c r="Y306" s="3"/>
      <c r="AA306" s="1400" t="s">
        <v>1248</v>
      </c>
      <c r="AB306" s="1374"/>
      <c r="AC306" s="1374"/>
      <c r="AD306" s="1374"/>
      <c r="AE306" s="1374"/>
      <c r="AF306" s="1374"/>
      <c r="AG306" s="1374"/>
      <c r="AH306" s="1374"/>
      <c r="AI306" s="1374"/>
      <c r="AJ306" s="1374"/>
      <c r="AK306" s="1374"/>
      <c r="AX306" s="1188"/>
      <c r="AY306" s="1188"/>
      <c r="AZ306" s="1188"/>
      <c r="BA306" s="1188"/>
      <c r="BB306" s="1188"/>
      <c r="BC306" s="1188"/>
      <c r="BD306" s="1188"/>
      <c r="BE306" s="1188"/>
      <c r="BF306" s="1188"/>
      <c r="BG306" s="1188"/>
      <c r="BH306" s="1188"/>
      <c r="BI306" s="1188"/>
      <c r="BJ306" s="1188"/>
      <c r="BK306" s="1188"/>
      <c r="BL306" s="1188"/>
      <c r="BM306" s="1188"/>
      <c r="BN306" s="1188"/>
      <c r="BO306" s="1188"/>
      <c r="BP306" s="1188"/>
      <c r="BQ306" s="1188"/>
      <c r="BR306" s="1188"/>
      <c r="BS306" s="1188"/>
      <c r="BT306" s="1188"/>
    </row>
    <row r="307" spans="2:72" ht="12.9" customHeight="1">
      <c r="B307" s="3" t="s">
        <v>1185</v>
      </c>
      <c r="C307" s="3"/>
      <c r="D307" s="3"/>
      <c r="E307" s="3"/>
      <c r="F307" s="3"/>
      <c r="H307" s="1400" t="s">
        <v>1249</v>
      </c>
      <c r="I307" s="1374"/>
      <c r="J307" s="1374"/>
      <c r="K307" s="1374"/>
      <c r="L307" s="1374"/>
      <c r="M307" s="1374"/>
      <c r="N307" s="1374"/>
      <c r="O307" s="1374"/>
      <c r="P307" s="1374"/>
      <c r="Q307" s="1374"/>
      <c r="R307" s="1374"/>
      <c r="T307" s="3" t="s">
        <v>1185</v>
      </c>
      <c r="V307" s="3"/>
      <c r="W307" s="3"/>
      <c r="X307" s="3"/>
      <c r="Y307" s="3"/>
      <c r="AA307" s="1400" t="s">
        <v>1250</v>
      </c>
      <c r="AB307" s="1374"/>
      <c r="AC307" s="1374"/>
      <c r="AD307" s="1374"/>
      <c r="AE307" s="1374"/>
      <c r="AF307" s="1374"/>
      <c r="AG307" s="1374"/>
      <c r="AH307" s="1374"/>
      <c r="AI307" s="1374"/>
      <c r="AJ307" s="1374"/>
      <c r="AK307" s="1374"/>
    </row>
    <row r="308" spans="2:72" ht="12.9" customHeight="1">
      <c r="B308" s="3" t="s">
        <v>1187</v>
      </c>
      <c r="C308" s="3"/>
      <c r="D308" s="3"/>
      <c r="E308" s="3"/>
      <c r="F308" s="3"/>
      <c r="G308" s="3"/>
      <c r="H308" s="1500">
        <v>9164440826</v>
      </c>
      <c r="I308" s="1294"/>
      <c r="J308" s="1294"/>
      <c r="K308" s="1294"/>
      <c r="L308" s="1294"/>
      <c r="M308" s="1294"/>
      <c r="N308" s="4" t="s">
        <v>1188</v>
      </c>
      <c r="O308" s="4"/>
      <c r="P308" s="1407"/>
      <c r="Q308" s="1294"/>
      <c r="R308" s="1294"/>
      <c r="S308" s="3"/>
      <c r="T308" s="3" t="s">
        <v>1187</v>
      </c>
      <c r="V308" s="3"/>
      <c r="W308" s="3"/>
      <c r="X308" s="3"/>
      <c r="Y308" s="3"/>
      <c r="AA308" s="1500">
        <v>4806984586</v>
      </c>
      <c r="AB308" s="1294"/>
      <c r="AC308" s="1294"/>
      <c r="AD308" s="1294"/>
      <c r="AE308" s="1294"/>
      <c r="AF308" s="1294"/>
      <c r="AG308" s="4" t="s">
        <v>1188</v>
      </c>
      <c r="AH308" s="4"/>
      <c r="AI308" s="1407"/>
      <c r="AJ308" s="1294"/>
      <c r="AK308" s="1294"/>
    </row>
    <row r="309" spans="2:72" ht="12.9" customHeight="1">
      <c r="B309" s="3" t="s">
        <v>1189</v>
      </c>
      <c r="C309" s="3"/>
      <c r="D309" s="3"/>
      <c r="E309" s="3"/>
      <c r="F309" s="3"/>
      <c r="G309" s="3"/>
      <c r="H309" s="1430"/>
      <c r="I309" s="1374"/>
      <c r="J309" s="1374"/>
      <c r="K309" s="1374"/>
      <c r="L309" s="1374"/>
      <c r="M309" s="1374"/>
      <c r="N309" s="4"/>
      <c r="O309" s="4"/>
      <c r="P309" s="35"/>
      <c r="Q309" s="35"/>
      <c r="R309" s="35"/>
      <c r="S309" s="3"/>
      <c r="T309" s="3" t="s">
        <v>1189</v>
      </c>
      <c r="V309" s="3"/>
      <c r="W309" s="3"/>
      <c r="X309" s="3"/>
      <c r="Y309" s="3"/>
      <c r="AA309" s="1430"/>
      <c r="AB309" s="1374"/>
      <c r="AC309" s="1374"/>
      <c r="AD309" s="1374"/>
      <c r="AE309" s="1374"/>
      <c r="AF309" s="1374"/>
      <c r="AG309" s="4"/>
      <c r="AH309" s="4"/>
      <c r="AI309" s="35"/>
      <c r="AJ309" s="35"/>
      <c r="AK309" s="35"/>
    </row>
    <row r="310" spans="2:72" ht="12.9" customHeight="1">
      <c r="B310" s="3" t="s">
        <v>1240</v>
      </c>
      <c r="C310" s="3"/>
      <c r="D310" s="3"/>
      <c r="E310" s="3"/>
      <c r="F310" s="3"/>
      <c r="G310" s="3"/>
      <c r="H310" s="1400" t="s">
        <v>1251</v>
      </c>
      <c r="I310" s="1374"/>
      <c r="J310" s="1374"/>
      <c r="K310" s="1374"/>
      <c r="L310" s="1374"/>
      <c r="M310" s="1374"/>
      <c r="N310" s="1374"/>
      <c r="O310" s="1374"/>
      <c r="P310" s="1374"/>
      <c r="Q310" s="1374"/>
      <c r="R310" s="1374"/>
      <c r="S310" s="3"/>
      <c r="T310" s="3" t="s">
        <v>1240</v>
      </c>
      <c r="V310" s="3"/>
      <c r="W310" s="3"/>
      <c r="X310" s="3"/>
      <c r="Y310" s="3"/>
      <c r="AA310" s="1400" t="s">
        <v>1252</v>
      </c>
      <c r="AB310" s="1374"/>
      <c r="AC310" s="1374"/>
      <c r="AD310" s="1374"/>
      <c r="AE310" s="1374"/>
      <c r="AF310" s="1374"/>
      <c r="AG310" s="1374"/>
      <c r="AH310" s="1374"/>
      <c r="AI310" s="1374"/>
      <c r="AJ310" s="1374"/>
      <c r="AK310" s="1374"/>
    </row>
    <row r="311" spans="2:72" ht="12.9" customHeight="1"/>
    <row r="312" spans="2:72" ht="12.9" customHeight="1">
      <c r="B312" s="3" t="s">
        <v>1253</v>
      </c>
      <c r="C312" s="3"/>
      <c r="D312" s="3"/>
      <c r="E312" s="3"/>
      <c r="F312" s="3"/>
      <c r="H312" s="1389"/>
      <c r="I312" s="1294"/>
      <c r="J312" s="1294"/>
      <c r="K312" s="1294"/>
      <c r="L312" s="1294"/>
      <c r="M312" s="1294"/>
      <c r="N312" s="1294"/>
      <c r="O312" s="1294"/>
      <c r="P312" s="1294"/>
      <c r="Q312" s="1294"/>
      <c r="R312" s="1294"/>
      <c r="T312" s="4" t="s">
        <v>1254</v>
      </c>
      <c r="V312" s="3"/>
      <c r="W312" s="3"/>
      <c r="X312" s="3"/>
      <c r="Y312" s="3"/>
      <c r="AA312" s="1389" t="s">
        <v>1255</v>
      </c>
      <c r="AB312" s="1294"/>
      <c r="AC312" s="1294"/>
      <c r="AD312" s="1294"/>
      <c r="AE312" s="1294"/>
      <c r="AF312" s="1294"/>
      <c r="AG312" s="1294"/>
      <c r="AH312" s="1294"/>
      <c r="AI312" s="1294"/>
      <c r="AJ312" s="1294"/>
      <c r="AK312" s="1294"/>
    </row>
    <row r="313" spans="2:72" ht="12.9" customHeight="1">
      <c r="B313" s="3" t="s">
        <v>1236</v>
      </c>
      <c r="C313" s="3"/>
      <c r="D313" s="3"/>
      <c r="E313" s="3"/>
      <c r="F313" s="3"/>
      <c r="H313" s="1400"/>
      <c r="I313" s="1374"/>
      <c r="J313" s="1374"/>
      <c r="K313" s="1374"/>
      <c r="L313" s="1374"/>
      <c r="M313" s="1374"/>
      <c r="N313" s="1374"/>
      <c r="O313" s="1374"/>
      <c r="P313" s="1374"/>
      <c r="Q313" s="1374"/>
      <c r="R313" s="1374"/>
      <c r="T313" s="3" t="s">
        <v>1236</v>
      </c>
      <c r="V313" s="3"/>
      <c r="W313" s="3"/>
      <c r="X313" s="3"/>
      <c r="Y313" s="3"/>
      <c r="AA313" s="1400" t="s">
        <v>1256</v>
      </c>
      <c r="AB313" s="1374"/>
      <c r="AC313" s="1374"/>
      <c r="AD313" s="1374"/>
      <c r="AE313" s="1374"/>
      <c r="AF313" s="1374"/>
      <c r="AG313" s="1374"/>
      <c r="AH313" s="1374"/>
      <c r="AI313" s="1374"/>
      <c r="AJ313" s="1374"/>
      <c r="AK313" s="1374"/>
    </row>
    <row r="314" spans="2:72" ht="12.9" customHeight="1">
      <c r="B314" s="3" t="s">
        <v>1237</v>
      </c>
      <c r="C314" s="3"/>
      <c r="D314" s="3"/>
      <c r="E314" s="3"/>
      <c r="F314" s="3"/>
      <c r="H314" s="1400"/>
      <c r="I314" s="1374"/>
      <c r="J314" s="1374"/>
      <c r="K314" s="1374"/>
      <c r="L314" s="1374"/>
      <c r="M314" s="1374"/>
      <c r="N314" s="1374"/>
      <c r="O314" s="1374"/>
      <c r="P314" s="1374"/>
      <c r="Q314" s="1374"/>
      <c r="R314" s="1374"/>
      <c r="T314" s="3" t="s">
        <v>1239</v>
      </c>
      <c r="V314" s="3"/>
      <c r="W314" s="3"/>
      <c r="X314" s="3"/>
      <c r="Y314" s="3"/>
      <c r="AA314" s="1400" t="s">
        <v>1257</v>
      </c>
      <c r="AB314" s="1374"/>
      <c r="AC314" s="1374"/>
      <c r="AD314" s="1374"/>
      <c r="AE314" s="1374"/>
      <c r="AF314" s="1374"/>
      <c r="AG314" s="1374"/>
      <c r="AH314" s="1374"/>
      <c r="AI314" s="1374"/>
      <c r="AJ314" s="1374"/>
      <c r="AK314" s="1374"/>
    </row>
    <row r="315" spans="2:72" ht="12.9" customHeight="1">
      <c r="B315" s="3" t="s">
        <v>1185</v>
      </c>
      <c r="C315" s="3"/>
      <c r="D315" s="3"/>
      <c r="E315" s="3"/>
      <c r="F315" s="3"/>
      <c r="H315" s="1400"/>
      <c r="I315" s="1374"/>
      <c r="J315" s="1374"/>
      <c r="K315" s="1374"/>
      <c r="L315" s="1374"/>
      <c r="M315" s="1374"/>
      <c r="N315" s="1374"/>
      <c r="O315" s="1374"/>
      <c r="P315" s="1374"/>
      <c r="Q315" s="1374"/>
      <c r="R315" s="1374"/>
      <c r="T315" s="3" t="s">
        <v>1185</v>
      </c>
      <c r="V315" s="3"/>
      <c r="W315" s="3"/>
      <c r="X315" s="3"/>
      <c r="Y315" s="3"/>
      <c r="AA315" s="1400" t="s">
        <v>1258</v>
      </c>
      <c r="AB315" s="1374"/>
      <c r="AC315" s="1374"/>
      <c r="AD315" s="1374"/>
      <c r="AE315" s="1374"/>
      <c r="AF315" s="1374"/>
      <c r="AG315" s="1374"/>
      <c r="AH315" s="1374"/>
      <c r="AI315" s="1374"/>
      <c r="AJ315" s="1374"/>
      <c r="AK315" s="1374"/>
    </row>
    <row r="316" spans="2:72" ht="12.9" customHeight="1">
      <c r="B316" s="3" t="s">
        <v>1187</v>
      </c>
      <c r="C316" s="3"/>
      <c r="D316" s="3"/>
      <c r="E316" s="3"/>
      <c r="F316" s="3"/>
      <c r="G316" s="3"/>
      <c r="H316" s="1500"/>
      <c r="I316" s="1294"/>
      <c r="J316" s="1294"/>
      <c r="K316" s="1294"/>
      <c r="L316" s="1294"/>
      <c r="M316" s="1294"/>
      <c r="N316" s="4" t="s">
        <v>1188</v>
      </c>
      <c r="O316" s="4"/>
      <c r="P316" s="1407"/>
      <c r="Q316" s="1294"/>
      <c r="R316" s="1294"/>
      <c r="S316" s="3"/>
      <c r="T316" s="3" t="s">
        <v>1187</v>
      </c>
      <c r="V316" s="3"/>
      <c r="W316" s="3"/>
      <c r="X316" s="3"/>
      <c r="Y316" s="3"/>
      <c r="AA316" s="1500">
        <v>3102206274</v>
      </c>
      <c r="AB316" s="1294"/>
      <c r="AC316" s="1294"/>
      <c r="AD316" s="1294"/>
      <c r="AE316" s="1294"/>
      <c r="AF316" s="1294"/>
      <c r="AG316" s="4" t="s">
        <v>1188</v>
      </c>
      <c r="AH316" s="4"/>
      <c r="AI316" s="1407"/>
      <c r="AJ316" s="1294"/>
      <c r="AK316" s="1294"/>
    </row>
    <row r="317" spans="2:72" ht="12.9" customHeight="1">
      <c r="B317" s="3" t="s">
        <v>1189</v>
      </c>
      <c r="C317" s="3"/>
      <c r="D317" s="3"/>
      <c r="E317" s="3"/>
      <c r="F317" s="3"/>
      <c r="G317" s="3"/>
      <c r="H317" s="1430"/>
      <c r="I317" s="1374"/>
      <c r="J317" s="1374"/>
      <c r="K317" s="1374"/>
      <c r="L317" s="1374"/>
      <c r="M317" s="1374"/>
      <c r="N317" s="4"/>
      <c r="O317" s="4"/>
      <c r="P317" s="35"/>
      <c r="Q317" s="35"/>
      <c r="R317" s="35"/>
      <c r="S317" s="3"/>
      <c r="T317" s="3" t="s">
        <v>1189</v>
      </c>
      <c r="V317" s="3"/>
      <c r="W317" s="3"/>
      <c r="X317" s="3"/>
      <c r="Y317" s="3"/>
      <c r="AA317" s="1430"/>
      <c r="AB317" s="1374"/>
      <c r="AC317" s="1374"/>
      <c r="AD317" s="1374"/>
      <c r="AE317" s="1374"/>
      <c r="AF317" s="1374"/>
      <c r="AG317" s="4"/>
      <c r="AH317" s="4"/>
      <c r="AI317" s="35"/>
      <c r="AJ317" s="35"/>
      <c r="AK317" s="35"/>
    </row>
    <row r="318" spans="2:72" ht="12.9" customHeight="1">
      <c r="B318" s="3" t="s">
        <v>1240</v>
      </c>
      <c r="C318" s="3"/>
      <c r="D318" s="3"/>
      <c r="E318" s="3"/>
      <c r="F318" s="3"/>
      <c r="G318" s="3"/>
      <c r="H318" s="1400"/>
      <c r="I318" s="1374"/>
      <c r="J318" s="1374"/>
      <c r="K318" s="1374"/>
      <c r="L318" s="1374"/>
      <c r="M318" s="1374"/>
      <c r="N318" s="1374"/>
      <c r="O318" s="1374"/>
      <c r="P318" s="1374"/>
      <c r="Q318" s="1374"/>
      <c r="R318" s="1374"/>
      <c r="S318" s="3"/>
      <c r="T318" s="3" t="s">
        <v>1240</v>
      </c>
      <c r="V318" s="3"/>
      <c r="W318" s="3"/>
      <c r="X318" s="3"/>
      <c r="Y318" s="3"/>
      <c r="AA318" s="1400" t="s">
        <v>1259</v>
      </c>
      <c r="AB318" s="1374"/>
      <c r="AC318" s="1374"/>
      <c r="AD318" s="1374"/>
      <c r="AE318" s="1374"/>
      <c r="AF318" s="1374"/>
      <c r="AG318" s="1374"/>
      <c r="AH318" s="1374"/>
      <c r="AI318" s="1374"/>
      <c r="AJ318" s="1374"/>
      <c r="AK318" s="1374"/>
    </row>
    <row r="319" spans="2:72" ht="12.9"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 customHeight="1">
      <c r="B320" s="4" t="s">
        <v>1260</v>
      </c>
      <c r="C320" s="3"/>
      <c r="D320" s="3"/>
      <c r="E320" s="3"/>
      <c r="F320" s="3"/>
      <c r="H320" s="1389" t="s">
        <v>1261</v>
      </c>
      <c r="I320" s="1294"/>
      <c r="J320" s="1294"/>
      <c r="K320" s="1294"/>
      <c r="L320" s="1294"/>
      <c r="M320" s="1294"/>
      <c r="N320" s="1294"/>
      <c r="O320" s="1294"/>
      <c r="P320" s="1294"/>
      <c r="Q320" s="1294"/>
      <c r="R320" s="1294"/>
      <c r="S320" s="3"/>
      <c r="T320" s="3" t="s">
        <v>1262</v>
      </c>
      <c r="V320" s="3"/>
      <c r="W320" s="3"/>
      <c r="X320" s="3"/>
      <c r="Y320" s="3"/>
      <c r="AA320" s="1389" t="s">
        <v>1263</v>
      </c>
      <c r="AB320" s="1294"/>
      <c r="AC320" s="1294"/>
      <c r="AD320" s="1294"/>
      <c r="AE320" s="1294"/>
      <c r="AF320" s="1294"/>
      <c r="AG320" s="1294"/>
      <c r="AH320" s="1294"/>
      <c r="AI320" s="1294"/>
      <c r="AJ320" s="1294"/>
      <c r="AK320" s="1294"/>
    </row>
    <row r="321" spans="2:37" ht="12.9" customHeight="1">
      <c r="B321" s="3" t="s">
        <v>1236</v>
      </c>
      <c r="C321" s="3"/>
      <c r="D321" s="3"/>
      <c r="E321" s="3"/>
      <c r="F321" s="3"/>
      <c r="H321" s="1400" t="s">
        <v>1264</v>
      </c>
      <c r="I321" s="1374"/>
      <c r="J321" s="1374"/>
      <c r="K321" s="1374"/>
      <c r="L321" s="1374"/>
      <c r="M321" s="1374"/>
      <c r="N321" s="1374"/>
      <c r="O321" s="1374"/>
      <c r="P321" s="1374"/>
      <c r="Q321" s="1374"/>
      <c r="R321" s="1374"/>
      <c r="S321" s="3"/>
      <c r="T321" s="3" t="s">
        <v>1236</v>
      </c>
      <c r="V321" s="3"/>
      <c r="W321" s="3"/>
      <c r="X321" s="3"/>
      <c r="Y321" s="3"/>
      <c r="AA321" s="1400" t="s">
        <v>1265</v>
      </c>
      <c r="AB321" s="1374"/>
      <c r="AC321" s="1374"/>
      <c r="AD321" s="1374"/>
      <c r="AE321" s="1374"/>
      <c r="AF321" s="1374"/>
      <c r="AG321" s="1374"/>
      <c r="AH321" s="1374"/>
      <c r="AI321" s="1374"/>
      <c r="AJ321" s="1374"/>
      <c r="AK321" s="1374"/>
    </row>
    <row r="322" spans="2:37" ht="12.9" customHeight="1">
      <c r="B322" s="3" t="s">
        <v>1237</v>
      </c>
      <c r="C322" s="3"/>
      <c r="D322" s="3"/>
      <c r="E322" s="3"/>
      <c r="F322" s="3"/>
      <c r="H322" s="1400" t="s">
        <v>1266</v>
      </c>
      <c r="I322" s="1374"/>
      <c r="J322" s="1374"/>
      <c r="K322" s="1374"/>
      <c r="L322" s="1374"/>
      <c r="M322" s="1374"/>
      <c r="N322" s="1374"/>
      <c r="O322" s="1374"/>
      <c r="P322" s="1374"/>
      <c r="Q322" s="1374"/>
      <c r="R322" s="1374"/>
      <c r="S322" s="3"/>
      <c r="T322" s="3" t="s">
        <v>1239</v>
      </c>
      <c r="V322" s="3"/>
      <c r="W322" s="3"/>
      <c r="X322" s="3"/>
      <c r="Y322" s="3"/>
      <c r="AA322" s="1400" t="s">
        <v>1267</v>
      </c>
      <c r="AB322" s="1374"/>
      <c r="AC322" s="1374"/>
      <c r="AD322" s="1374"/>
      <c r="AE322" s="1374"/>
      <c r="AF322" s="1374"/>
      <c r="AG322" s="1374"/>
      <c r="AH322" s="1374"/>
      <c r="AI322" s="1374"/>
      <c r="AJ322" s="1374"/>
      <c r="AK322" s="1374"/>
    </row>
    <row r="323" spans="2:37" ht="12.9" customHeight="1">
      <c r="B323" s="3" t="s">
        <v>1185</v>
      </c>
      <c r="C323" s="3"/>
      <c r="D323" s="3"/>
      <c r="E323" s="3"/>
      <c r="F323" s="3"/>
      <c r="H323" s="1400" t="s">
        <v>1268</v>
      </c>
      <c r="I323" s="1374"/>
      <c r="J323" s="1374"/>
      <c r="K323" s="1374"/>
      <c r="L323" s="1374"/>
      <c r="M323" s="1374"/>
      <c r="N323" s="1374"/>
      <c r="O323" s="1374"/>
      <c r="P323" s="1374"/>
      <c r="Q323" s="1374"/>
      <c r="R323" s="1374"/>
      <c r="S323" s="3"/>
      <c r="T323" s="3" t="s">
        <v>1185</v>
      </c>
      <c r="V323" s="3"/>
      <c r="W323" s="3"/>
      <c r="X323" s="3"/>
      <c r="Y323" s="3"/>
      <c r="AA323" s="1400" t="s">
        <v>1269</v>
      </c>
      <c r="AB323" s="1374"/>
      <c r="AC323" s="1374"/>
      <c r="AD323" s="1374"/>
      <c r="AE323" s="1374"/>
      <c r="AF323" s="1374"/>
      <c r="AG323" s="1374"/>
      <c r="AH323" s="1374"/>
      <c r="AI323" s="1374"/>
      <c r="AJ323" s="1374"/>
      <c r="AK323" s="1374"/>
    </row>
    <row r="324" spans="2:37" ht="12.9" customHeight="1">
      <c r="B324" s="3" t="s">
        <v>1187</v>
      </c>
      <c r="C324" s="3"/>
      <c r="D324" s="3"/>
      <c r="E324" s="3"/>
      <c r="F324" s="3"/>
      <c r="G324" s="3"/>
      <c r="H324" s="1500">
        <v>9259497300</v>
      </c>
      <c r="I324" s="1294"/>
      <c r="J324" s="1294"/>
      <c r="K324" s="1294"/>
      <c r="L324" s="1294"/>
      <c r="M324" s="1294"/>
      <c r="N324" s="4" t="s">
        <v>1188</v>
      </c>
      <c r="O324" s="4"/>
      <c r="P324" s="1407"/>
      <c r="Q324" s="1294"/>
      <c r="R324" s="1294"/>
      <c r="S324" s="3"/>
      <c r="T324" s="3" t="s">
        <v>1187</v>
      </c>
      <c r="V324" s="3"/>
      <c r="W324" s="3"/>
      <c r="X324" s="3"/>
      <c r="Y324" s="3"/>
      <c r="AA324" s="1500">
        <v>2137878238</v>
      </c>
      <c r="AB324" s="1294"/>
      <c r="AC324" s="1294"/>
      <c r="AD324" s="1294"/>
      <c r="AE324" s="1294"/>
      <c r="AF324" s="1294"/>
      <c r="AG324" s="4" t="s">
        <v>1188</v>
      </c>
      <c r="AH324" s="4"/>
      <c r="AI324" s="1407"/>
      <c r="AJ324" s="1294"/>
      <c r="AK324" s="1294"/>
    </row>
    <row r="325" spans="2:37" ht="12.9" customHeight="1">
      <c r="B325" s="3" t="s">
        <v>1189</v>
      </c>
      <c r="C325" s="3"/>
      <c r="D325" s="3"/>
      <c r="E325" s="3"/>
      <c r="F325" s="3"/>
      <c r="G325" s="3"/>
      <c r="H325" s="1430"/>
      <c r="I325" s="1374"/>
      <c r="J325" s="1374"/>
      <c r="K325" s="1374"/>
      <c r="L325" s="1374"/>
      <c r="M325" s="1374"/>
      <c r="N325" s="4"/>
      <c r="O325" s="4"/>
      <c r="P325" s="35"/>
      <c r="Q325" s="35"/>
      <c r="R325" s="35"/>
      <c r="S325" s="3"/>
      <c r="T325" s="3" t="s">
        <v>1189</v>
      </c>
      <c r="V325" s="3"/>
      <c r="W325" s="3"/>
      <c r="X325" s="3"/>
      <c r="Y325" s="3"/>
      <c r="AA325" s="1430"/>
      <c r="AB325" s="1374"/>
      <c r="AC325" s="1374"/>
      <c r="AD325" s="1374"/>
      <c r="AE325" s="1374"/>
      <c r="AF325" s="1374"/>
      <c r="AG325" s="4"/>
      <c r="AH325" s="4"/>
      <c r="AI325" s="35"/>
      <c r="AJ325" s="35"/>
      <c r="AK325" s="35"/>
    </row>
    <row r="326" spans="2:37" ht="12.9" customHeight="1">
      <c r="B326" s="3" t="s">
        <v>1240</v>
      </c>
      <c r="C326" s="3"/>
      <c r="D326" s="3"/>
      <c r="E326" s="3"/>
      <c r="F326" s="3"/>
      <c r="G326" s="3"/>
      <c r="H326" s="1400" t="s">
        <v>1270</v>
      </c>
      <c r="I326" s="1374"/>
      <c r="J326" s="1374"/>
      <c r="K326" s="1374"/>
      <c r="L326" s="1374"/>
      <c r="M326" s="1374"/>
      <c r="N326" s="1374"/>
      <c r="O326" s="1374"/>
      <c r="P326" s="1374"/>
      <c r="Q326" s="1374"/>
      <c r="R326" s="1374"/>
      <c r="S326" s="3"/>
      <c r="T326" s="3" t="s">
        <v>1240</v>
      </c>
      <c r="V326" s="3"/>
      <c r="W326" s="3"/>
      <c r="X326" s="3"/>
      <c r="Y326" s="3"/>
      <c r="AA326" s="1400" t="s">
        <v>1271</v>
      </c>
      <c r="AB326" s="1374"/>
      <c r="AC326" s="1374"/>
      <c r="AD326" s="1374"/>
      <c r="AE326" s="1374"/>
      <c r="AF326" s="1374"/>
      <c r="AG326" s="1374"/>
      <c r="AH326" s="1374"/>
      <c r="AI326" s="1374"/>
      <c r="AJ326" s="1374"/>
      <c r="AK326" s="1374"/>
    </row>
    <row r="327" spans="2:37" ht="12.9" customHeight="1"/>
    <row r="328" spans="2:37" ht="12.9" customHeight="1">
      <c r="B328" s="4" t="s">
        <v>1272</v>
      </c>
      <c r="C328" s="3"/>
      <c r="D328" s="3"/>
      <c r="E328" s="3"/>
      <c r="F328" s="3"/>
      <c r="H328" s="1389"/>
      <c r="I328" s="1294"/>
      <c r="J328" s="1294"/>
      <c r="K328" s="1294"/>
      <c r="L328" s="1294"/>
      <c r="M328" s="1294"/>
      <c r="N328" s="1294"/>
      <c r="O328" s="1294"/>
      <c r="P328" s="1294"/>
      <c r="Q328" s="1294"/>
      <c r="R328" s="1294"/>
      <c r="T328" s="3" t="s">
        <v>1273</v>
      </c>
      <c r="V328" s="3"/>
      <c r="W328" s="3"/>
      <c r="X328" s="3"/>
      <c r="Y328" s="3"/>
      <c r="AA328" s="1389" t="s">
        <v>1261</v>
      </c>
      <c r="AB328" s="1294"/>
      <c r="AC328" s="1294"/>
      <c r="AD328" s="1294"/>
      <c r="AE328" s="1294"/>
      <c r="AF328" s="1294"/>
      <c r="AG328" s="1294"/>
      <c r="AH328" s="1294"/>
      <c r="AI328" s="1294"/>
      <c r="AJ328" s="1294"/>
      <c r="AK328" s="1294"/>
    </row>
    <row r="329" spans="2:37" ht="12.9" customHeight="1">
      <c r="B329" s="3" t="s">
        <v>1236</v>
      </c>
      <c r="C329" s="3"/>
      <c r="D329" s="3"/>
      <c r="E329" s="3"/>
      <c r="F329" s="3"/>
      <c r="H329" s="1400"/>
      <c r="I329" s="1374"/>
      <c r="J329" s="1374"/>
      <c r="K329" s="1374"/>
      <c r="L329" s="1374"/>
      <c r="M329" s="1374"/>
      <c r="N329" s="1374"/>
      <c r="O329" s="1374"/>
      <c r="P329" s="1374"/>
      <c r="Q329" s="1374"/>
      <c r="R329" s="1374"/>
      <c r="T329" s="3" t="s">
        <v>1236</v>
      </c>
      <c r="V329" s="3"/>
      <c r="W329" s="3"/>
      <c r="X329" s="3"/>
      <c r="Y329" s="3"/>
      <c r="AA329" s="1400" t="s">
        <v>1274</v>
      </c>
      <c r="AB329" s="1374"/>
      <c r="AC329" s="1374"/>
      <c r="AD329" s="1374"/>
      <c r="AE329" s="1374"/>
      <c r="AF329" s="1374"/>
      <c r="AG329" s="1374"/>
      <c r="AH329" s="1374"/>
      <c r="AI329" s="1374"/>
      <c r="AJ329" s="1374"/>
      <c r="AK329" s="1374"/>
    </row>
    <row r="330" spans="2:37" ht="12.9" customHeight="1">
      <c r="B330" s="3" t="s">
        <v>1237</v>
      </c>
      <c r="C330" s="3"/>
      <c r="D330" s="3"/>
      <c r="E330" s="3"/>
      <c r="F330" s="3"/>
      <c r="H330" s="1400"/>
      <c r="I330" s="1374"/>
      <c r="J330" s="1374"/>
      <c r="K330" s="1374"/>
      <c r="L330" s="1374"/>
      <c r="M330" s="1374"/>
      <c r="N330" s="1374"/>
      <c r="O330" s="1374"/>
      <c r="P330" s="1374"/>
      <c r="Q330" s="1374"/>
      <c r="R330" s="1374"/>
      <c r="T330" s="3" t="s">
        <v>1239</v>
      </c>
      <c r="V330" s="3"/>
      <c r="W330" s="3"/>
      <c r="X330" s="3"/>
      <c r="Y330" s="3"/>
      <c r="AA330" s="1400" t="s">
        <v>1275</v>
      </c>
      <c r="AB330" s="1374"/>
      <c r="AC330" s="1374"/>
      <c r="AD330" s="1374"/>
      <c r="AE330" s="1374"/>
      <c r="AF330" s="1374"/>
      <c r="AG330" s="1374"/>
      <c r="AH330" s="1374"/>
      <c r="AI330" s="1374"/>
      <c r="AJ330" s="1374"/>
      <c r="AK330" s="1374"/>
    </row>
    <row r="331" spans="2:37" ht="12.9" customHeight="1">
      <c r="B331" s="3" t="s">
        <v>1185</v>
      </c>
      <c r="C331" s="3"/>
      <c r="D331" s="3"/>
      <c r="E331" s="3"/>
      <c r="F331" s="3"/>
      <c r="H331" s="1400"/>
      <c r="I331" s="1374"/>
      <c r="J331" s="1374"/>
      <c r="K331" s="1374"/>
      <c r="L331" s="1374"/>
      <c r="M331" s="1374"/>
      <c r="N331" s="1374"/>
      <c r="O331" s="1374"/>
      <c r="P331" s="1374"/>
      <c r="Q331" s="1374"/>
      <c r="R331" s="1374"/>
      <c r="T331" s="3" t="s">
        <v>1185</v>
      </c>
      <c r="V331" s="3"/>
      <c r="W331" s="3"/>
      <c r="X331" s="3"/>
      <c r="Y331" s="3"/>
      <c r="AA331" s="1400" t="s">
        <v>1276</v>
      </c>
      <c r="AB331" s="1374"/>
      <c r="AC331" s="1374"/>
      <c r="AD331" s="1374"/>
      <c r="AE331" s="1374"/>
      <c r="AF331" s="1374"/>
      <c r="AG331" s="1374"/>
      <c r="AH331" s="1374"/>
      <c r="AI331" s="1374"/>
      <c r="AJ331" s="1374"/>
      <c r="AK331" s="1374"/>
    </row>
    <row r="332" spans="2:37" ht="12.9" customHeight="1">
      <c r="B332" s="3" t="s">
        <v>1187</v>
      </c>
      <c r="C332" s="3"/>
      <c r="D332" s="3"/>
      <c r="E332" s="3"/>
      <c r="F332" s="3"/>
      <c r="G332" s="3"/>
      <c r="H332" s="1500"/>
      <c r="I332" s="1294"/>
      <c r="J332" s="1294"/>
      <c r="K332" s="1294"/>
      <c r="L332" s="1294"/>
      <c r="M332" s="1294"/>
      <c r="N332" s="4" t="s">
        <v>1188</v>
      </c>
      <c r="O332" s="4"/>
      <c r="P332" s="1407"/>
      <c r="Q332" s="1294"/>
      <c r="R332" s="1294"/>
      <c r="S332" s="3"/>
      <c r="T332" s="3" t="s">
        <v>1187</v>
      </c>
      <c r="V332" s="3"/>
      <c r="W332" s="3"/>
      <c r="X332" s="3"/>
      <c r="Y332" s="3"/>
      <c r="AA332" s="1500">
        <v>5123493212</v>
      </c>
      <c r="AB332" s="1294"/>
      <c r="AC332" s="1294"/>
      <c r="AD332" s="1294"/>
      <c r="AE332" s="1294"/>
      <c r="AF332" s="1294"/>
      <c r="AG332" s="4" t="s">
        <v>1188</v>
      </c>
      <c r="AH332" s="4"/>
      <c r="AI332" s="1407"/>
      <c r="AJ332" s="1294"/>
      <c r="AK332" s="1294"/>
    </row>
    <row r="333" spans="2:37" ht="12.9" customHeight="1">
      <c r="B333" s="3" t="s">
        <v>1189</v>
      </c>
      <c r="C333" s="3"/>
      <c r="D333" s="3"/>
      <c r="E333" s="3"/>
      <c r="F333" s="3"/>
      <c r="G333" s="3"/>
      <c r="H333" s="1430"/>
      <c r="I333" s="1374"/>
      <c r="J333" s="1374"/>
      <c r="K333" s="1374"/>
      <c r="L333" s="1374"/>
      <c r="M333" s="1374"/>
      <c r="N333" s="4"/>
      <c r="O333" s="4"/>
      <c r="P333" s="35"/>
      <c r="Q333" s="35"/>
      <c r="R333" s="35"/>
      <c r="S333" s="3"/>
      <c r="T333" s="3" t="s">
        <v>1189</v>
      </c>
      <c r="V333" s="3"/>
      <c r="W333" s="3"/>
      <c r="X333" s="3"/>
      <c r="Y333" s="3"/>
      <c r="AA333" s="1430"/>
      <c r="AB333" s="1374"/>
      <c r="AC333" s="1374"/>
      <c r="AD333" s="1374"/>
      <c r="AE333" s="1374"/>
      <c r="AF333" s="1374"/>
      <c r="AG333" s="4"/>
      <c r="AH333" s="4"/>
      <c r="AI333" s="35"/>
      <c r="AJ333" s="35"/>
      <c r="AK333" s="35"/>
    </row>
    <row r="334" spans="2:37" ht="12.9" customHeight="1">
      <c r="B334" s="3" t="s">
        <v>1240</v>
      </c>
      <c r="C334" s="3"/>
      <c r="D334" s="3"/>
      <c r="E334" s="3"/>
      <c r="F334" s="3"/>
      <c r="G334" s="3"/>
      <c r="H334" s="1400"/>
      <c r="I334" s="1374"/>
      <c r="J334" s="1374"/>
      <c r="K334" s="1374"/>
      <c r="L334" s="1374"/>
      <c r="M334" s="1374"/>
      <c r="N334" s="1374"/>
      <c r="O334" s="1374"/>
      <c r="P334" s="1374"/>
      <c r="Q334" s="1374"/>
      <c r="R334" s="1374"/>
      <c r="S334" s="3"/>
      <c r="T334" s="3" t="s">
        <v>1240</v>
      </c>
      <c r="V334" s="3"/>
      <c r="W334" s="3"/>
      <c r="X334" s="3"/>
      <c r="Y334" s="3"/>
      <c r="AA334" s="1400" t="s">
        <v>1277</v>
      </c>
      <c r="AB334" s="1374"/>
      <c r="AC334" s="1374"/>
      <c r="AD334" s="1374"/>
      <c r="AE334" s="1374"/>
      <c r="AF334" s="1374"/>
      <c r="AG334" s="1374"/>
      <c r="AH334" s="1374"/>
      <c r="AI334" s="1374"/>
      <c r="AJ334" s="1374"/>
      <c r="AK334" s="1374"/>
    </row>
    <row r="335" spans="2:37" ht="12.9" customHeight="1">
      <c r="B335" s="3"/>
      <c r="C335" s="3"/>
      <c r="D335" s="3"/>
      <c r="E335" s="3"/>
      <c r="F335" s="3"/>
      <c r="G335" s="3"/>
      <c r="P335" s="163"/>
      <c r="Q335" s="163"/>
      <c r="R335" s="163"/>
      <c r="S335" s="163"/>
      <c r="T335" s="163"/>
      <c r="U335" s="163"/>
      <c r="V335" s="4"/>
      <c r="W335" s="4"/>
      <c r="X335" s="35"/>
      <c r="Y335" s="35"/>
      <c r="Z335" s="35"/>
    </row>
    <row r="336" spans="2:37" ht="12.9" customHeight="1">
      <c r="B336" s="3" t="s">
        <v>1278</v>
      </c>
      <c r="C336" s="3"/>
      <c r="D336" s="3"/>
      <c r="E336" s="3"/>
      <c r="F336" s="3"/>
      <c r="H336" s="1389" t="s">
        <v>1261</v>
      </c>
      <c r="I336" s="1294"/>
      <c r="J336" s="1294"/>
      <c r="K336" s="1294"/>
      <c r="L336" s="1294"/>
      <c r="M336" s="1294"/>
      <c r="N336" s="1294"/>
      <c r="O336" s="1294"/>
      <c r="P336" s="1294"/>
      <c r="Q336" s="1294"/>
      <c r="R336" s="1294"/>
      <c r="T336" s="3" t="s">
        <v>1279</v>
      </c>
      <c r="V336" s="3"/>
      <c r="W336" s="3"/>
      <c r="X336" s="3"/>
      <c r="Y336" s="3"/>
      <c r="AA336" s="1393" t="s">
        <v>2775</v>
      </c>
      <c r="AB336" s="1294"/>
      <c r="AC336" s="1294"/>
      <c r="AD336" s="1294"/>
      <c r="AE336" s="1294"/>
      <c r="AF336" s="1294"/>
      <c r="AG336" s="1294"/>
      <c r="AH336" s="1294"/>
      <c r="AI336" s="1294"/>
      <c r="AJ336" s="1294"/>
      <c r="AK336" s="1294"/>
    </row>
    <row r="337" spans="2:66" ht="12.9" customHeight="1">
      <c r="B337" s="3" t="s">
        <v>1236</v>
      </c>
      <c r="C337" s="3"/>
      <c r="D337" s="3"/>
      <c r="E337" s="3"/>
      <c r="F337" s="3"/>
      <c r="H337" s="1400" t="s">
        <v>1274</v>
      </c>
      <c r="I337" s="1374"/>
      <c r="J337" s="1374"/>
      <c r="K337" s="1374"/>
      <c r="L337" s="1374"/>
      <c r="M337" s="1374"/>
      <c r="N337" s="1374"/>
      <c r="O337" s="1374"/>
      <c r="P337" s="1374"/>
      <c r="Q337" s="1374"/>
      <c r="R337" s="1374"/>
      <c r="T337" s="3" t="s">
        <v>1236</v>
      </c>
      <c r="V337" s="3"/>
      <c r="W337" s="3"/>
      <c r="X337" s="3"/>
      <c r="Y337" s="3"/>
      <c r="AA337" s="1431" t="s">
        <v>2776</v>
      </c>
      <c r="AB337" s="1374"/>
      <c r="AC337" s="1374"/>
      <c r="AD337" s="1374"/>
      <c r="AE337" s="1374"/>
      <c r="AF337" s="1374"/>
      <c r="AG337" s="1374"/>
      <c r="AH337" s="1374"/>
      <c r="AI337" s="1374"/>
      <c r="AJ337" s="1374"/>
      <c r="AK337" s="1374"/>
    </row>
    <row r="338" spans="2:66" ht="12.9" customHeight="1">
      <c r="B338" s="3" t="s">
        <v>1237</v>
      </c>
      <c r="C338" s="3"/>
      <c r="D338" s="3"/>
      <c r="E338" s="3"/>
      <c r="F338" s="3"/>
      <c r="H338" s="1400" t="s">
        <v>1275</v>
      </c>
      <c r="I338" s="1374"/>
      <c r="J338" s="1374"/>
      <c r="K338" s="1374"/>
      <c r="L338" s="1374"/>
      <c r="M338" s="1374"/>
      <c r="N338" s="1374"/>
      <c r="O338" s="1374"/>
      <c r="P338" s="1374"/>
      <c r="Q338" s="1374"/>
      <c r="R338" s="1374"/>
      <c r="T338" s="3" t="s">
        <v>1239</v>
      </c>
      <c r="V338" s="3"/>
      <c r="W338" s="3"/>
      <c r="X338" s="3"/>
      <c r="Y338" s="3"/>
      <c r="AA338" s="1431" t="s">
        <v>2777</v>
      </c>
      <c r="AB338" s="1374"/>
      <c r="AC338" s="1374"/>
      <c r="AD338" s="1374"/>
      <c r="AE338" s="1374"/>
      <c r="AF338" s="1374"/>
      <c r="AG338" s="1374"/>
      <c r="AH338" s="1374"/>
      <c r="AI338" s="1374"/>
      <c r="AJ338" s="1374"/>
      <c r="AK338" s="1374"/>
    </row>
    <row r="339" spans="2:66" ht="12.9" customHeight="1">
      <c r="B339" s="3" t="s">
        <v>1185</v>
      </c>
      <c r="C339" s="3"/>
      <c r="D339" s="3"/>
      <c r="E339" s="3"/>
      <c r="F339" s="3"/>
      <c r="H339" s="1400" t="s">
        <v>1276</v>
      </c>
      <c r="I339" s="1374"/>
      <c r="J339" s="1374"/>
      <c r="K339" s="1374"/>
      <c r="L339" s="1374"/>
      <c r="M339" s="1374"/>
      <c r="N339" s="1374"/>
      <c r="O339" s="1374"/>
      <c r="P339" s="1374"/>
      <c r="Q339" s="1374"/>
      <c r="R339" s="1374"/>
      <c r="T339" s="3" t="s">
        <v>1185</v>
      </c>
      <c r="V339" s="3"/>
      <c r="W339" s="3"/>
      <c r="X339" s="3"/>
      <c r="Y339" s="3"/>
      <c r="AA339" s="1431" t="s">
        <v>2778</v>
      </c>
      <c r="AB339" s="1374"/>
      <c r="AC339" s="1374"/>
      <c r="AD339" s="1374"/>
      <c r="AE339" s="1374"/>
      <c r="AF339" s="1374"/>
      <c r="AG339" s="1374"/>
      <c r="AH339" s="1374"/>
      <c r="AI339" s="1374"/>
      <c r="AJ339" s="1374"/>
      <c r="AK339" s="1374"/>
    </row>
    <row r="340" spans="2:66" ht="12.9" customHeight="1">
      <c r="B340" s="3" t="s">
        <v>1187</v>
      </c>
      <c r="C340" s="3"/>
      <c r="D340" s="3"/>
      <c r="E340" s="3"/>
      <c r="F340" s="3"/>
      <c r="G340" s="3"/>
      <c r="H340" s="1500">
        <v>5123493212</v>
      </c>
      <c r="I340" s="1294"/>
      <c r="J340" s="1294"/>
      <c r="K340" s="1294"/>
      <c r="L340" s="1294"/>
      <c r="M340" s="1294"/>
      <c r="N340" s="4" t="s">
        <v>1188</v>
      </c>
      <c r="O340" s="4"/>
      <c r="P340" s="1407"/>
      <c r="Q340" s="1294"/>
      <c r="R340" s="1294"/>
      <c r="S340" s="3"/>
      <c r="T340" s="3" t="s">
        <v>1187</v>
      </c>
      <c r="V340" s="3"/>
      <c r="W340" s="3"/>
      <c r="X340" s="3"/>
      <c r="Y340" s="3"/>
      <c r="AA340" s="1500">
        <v>7028045545</v>
      </c>
      <c r="AB340" s="1294"/>
      <c r="AC340" s="1294"/>
      <c r="AD340" s="1294"/>
      <c r="AE340" s="1294"/>
      <c r="AF340" s="1294"/>
      <c r="AG340" s="4" t="s">
        <v>1188</v>
      </c>
      <c r="AH340" s="4"/>
      <c r="AI340" s="1407"/>
      <c r="AJ340" s="1294"/>
      <c r="AK340" s="1294"/>
    </row>
    <row r="341" spans="2:66" ht="12.9" customHeight="1">
      <c r="B341" s="3" t="s">
        <v>1189</v>
      </c>
      <c r="C341" s="3"/>
      <c r="D341" s="3"/>
      <c r="E341" s="3"/>
      <c r="F341" s="3"/>
      <c r="G341" s="3"/>
      <c r="H341" s="1430"/>
      <c r="I341" s="1374"/>
      <c r="J341" s="1374"/>
      <c r="K341" s="1374"/>
      <c r="L341" s="1374"/>
      <c r="M341" s="1374"/>
      <c r="N341" s="4"/>
      <c r="O341" s="4"/>
      <c r="P341" s="35"/>
      <c r="Q341" s="35"/>
      <c r="R341" s="35"/>
      <c r="S341" s="3"/>
      <c r="T341" s="3" t="s">
        <v>1189</v>
      </c>
      <c r="V341" s="3"/>
      <c r="W341" s="3"/>
      <c r="X341" s="3"/>
      <c r="Y341" s="3"/>
      <c r="AA341" s="1430"/>
      <c r="AB341" s="1374"/>
      <c r="AC341" s="1374"/>
      <c r="AD341" s="1374"/>
      <c r="AE341" s="1374"/>
      <c r="AF341" s="1374"/>
      <c r="AG341" s="4"/>
      <c r="AH341" s="4"/>
      <c r="AI341" s="35"/>
      <c r="AJ341" s="35"/>
      <c r="AK341" s="35"/>
    </row>
    <row r="342" spans="2:66" ht="12.9" customHeight="1">
      <c r="B342" s="3" t="s">
        <v>1240</v>
      </c>
      <c r="C342" s="3"/>
      <c r="D342" s="3"/>
      <c r="E342" s="3"/>
      <c r="F342" s="3"/>
      <c r="G342" s="3"/>
      <c r="H342" s="1400" t="s">
        <v>1277</v>
      </c>
      <c r="I342" s="1374"/>
      <c r="J342" s="1374"/>
      <c r="K342" s="1374"/>
      <c r="L342" s="1374"/>
      <c r="M342" s="1374"/>
      <c r="N342" s="1374"/>
      <c r="O342" s="1374"/>
      <c r="P342" s="1374"/>
      <c r="Q342" s="1374"/>
      <c r="R342" s="1374"/>
      <c r="S342" s="3"/>
      <c r="T342" s="3" t="s">
        <v>1240</v>
      </c>
      <c r="V342" s="3"/>
      <c r="W342" s="3"/>
      <c r="X342" s="3"/>
      <c r="Y342" s="3"/>
      <c r="AA342" s="1431" t="s">
        <v>2779</v>
      </c>
      <c r="AB342" s="1374"/>
      <c r="AC342" s="1374"/>
      <c r="AD342" s="1374"/>
      <c r="AE342" s="1374"/>
      <c r="AF342" s="1374"/>
      <c r="AG342" s="1374"/>
      <c r="AH342" s="1374"/>
      <c r="AI342" s="1374"/>
      <c r="AJ342" s="1374"/>
      <c r="AK342" s="1374"/>
    </row>
    <row r="343" spans="2:66" ht="12.9" customHeight="1">
      <c r="B343" s="3"/>
      <c r="C343" s="3"/>
      <c r="D343" s="3"/>
      <c r="E343" s="3"/>
      <c r="F343" s="3"/>
      <c r="G343" s="3"/>
      <c r="P343" s="163"/>
      <c r="Q343" s="163"/>
      <c r="R343" s="163"/>
      <c r="S343" s="163"/>
      <c r="T343" s="163"/>
      <c r="U343" s="163"/>
      <c r="V343" s="4"/>
      <c r="W343" s="4"/>
      <c r="X343" s="35"/>
      <c r="Y343" s="35"/>
      <c r="Z343" s="35"/>
    </row>
    <row r="344" spans="2:66" ht="12.9" customHeight="1">
      <c r="B344" s="3" t="s">
        <v>1280</v>
      </c>
      <c r="C344" s="3"/>
      <c r="D344" s="3"/>
      <c r="E344" s="3"/>
      <c r="F344" s="3"/>
      <c r="H344" s="1389" t="s">
        <v>923</v>
      </c>
      <c r="I344" s="1294"/>
      <c r="J344" s="1294"/>
      <c r="K344" s="1294"/>
      <c r="L344" s="1294"/>
      <c r="M344" s="1294"/>
      <c r="N344" s="1294"/>
      <c r="O344" s="1294"/>
      <c r="P344" s="1294"/>
      <c r="Q344" s="1294"/>
      <c r="R344" s="1294"/>
      <c r="T344" s="204" t="s">
        <v>1281</v>
      </c>
      <c r="V344" s="3"/>
      <c r="W344" s="3"/>
      <c r="X344" s="3"/>
      <c r="Y344" s="3"/>
      <c r="AA344" s="1389" t="s">
        <v>2737</v>
      </c>
      <c r="AB344" s="1294"/>
      <c r="AC344" s="1294"/>
      <c r="AD344" s="1294"/>
      <c r="AE344" s="1294"/>
      <c r="AF344" s="1294"/>
      <c r="AG344" s="1294"/>
      <c r="AH344" s="1294"/>
      <c r="AI344" s="1294"/>
      <c r="AJ344" s="1294"/>
      <c r="AK344" s="1294"/>
    </row>
    <row r="345" spans="2:66" ht="12.9" customHeight="1">
      <c r="B345" s="3" t="s">
        <v>1236</v>
      </c>
      <c r="C345" s="3"/>
      <c r="D345" s="3"/>
      <c r="E345" s="3"/>
      <c r="F345" s="3"/>
      <c r="H345" s="1400" t="s">
        <v>937</v>
      </c>
      <c r="I345" s="1374"/>
      <c r="J345" s="1374"/>
      <c r="K345" s="1374"/>
      <c r="L345" s="1374"/>
      <c r="M345" s="1374"/>
      <c r="N345" s="1374"/>
      <c r="O345" s="1374"/>
      <c r="P345" s="1374"/>
      <c r="Q345" s="1374"/>
      <c r="R345" s="1374"/>
      <c r="T345" s="3" t="s">
        <v>1236</v>
      </c>
      <c r="V345" s="3"/>
      <c r="W345" s="3"/>
      <c r="X345" s="3"/>
      <c r="Y345" s="3"/>
      <c r="AA345" s="1431" t="s">
        <v>2771</v>
      </c>
      <c r="AB345" s="1374"/>
      <c r="AC345" s="1374"/>
      <c r="AD345" s="1374"/>
      <c r="AE345" s="1374"/>
      <c r="AF345" s="1374"/>
      <c r="AG345" s="1374"/>
      <c r="AH345" s="1374"/>
      <c r="AI345" s="1374"/>
      <c r="AJ345" s="1374"/>
      <c r="AK345" s="1374"/>
    </row>
    <row r="346" spans="2:66" ht="12.9" customHeight="1">
      <c r="B346" s="3" t="s">
        <v>1239</v>
      </c>
      <c r="C346" s="3"/>
      <c r="D346" s="3"/>
      <c r="E346" s="3"/>
      <c r="F346" s="3"/>
      <c r="H346" s="1400" t="s">
        <v>1282</v>
      </c>
      <c r="I346" s="1374"/>
      <c r="J346" s="1374"/>
      <c r="K346" s="1374"/>
      <c r="L346" s="1374"/>
      <c r="M346" s="1374"/>
      <c r="N346" s="1374"/>
      <c r="O346" s="1374"/>
      <c r="P346" s="1374"/>
      <c r="Q346" s="1374"/>
      <c r="R346" s="1374"/>
      <c r="T346" s="3" t="s">
        <v>1239</v>
      </c>
      <c r="V346" s="3"/>
      <c r="W346" s="3"/>
      <c r="X346" s="3"/>
      <c r="Y346" s="3"/>
      <c r="AA346" s="1431" t="s">
        <v>2772</v>
      </c>
      <c r="AB346" s="1374"/>
      <c r="AC346" s="1374"/>
      <c r="AD346" s="1374"/>
      <c r="AE346" s="1374"/>
      <c r="AF346" s="1374"/>
      <c r="AG346" s="1374"/>
      <c r="AH346" s="1374"/>
      <c r="AI346" s="1374"/>
      <c r="AJ346" s="1374"/>
      <c r="AK346" s="1374"/>
    </row>
    <row r="347" spans="2:66" ht="12.9" customHeight="1">
      <c r="B347" s="3" t="s">
        <v>1185</v>
      </c>
      <c r="C347" s="3"/>
      <c r="D347" s="3"/>
      <c r="E347" s="3"/>
      <c r="F347" s="3"/>
      <c r="G347" s="3"/>
      <c r="H347" s="1400" t="s">
        <v>1283</v>
      </c>
      <c r="I347" s="1374"/>
      <c r="J347" s="1374"/>
      <c r="K347" s="1374"/>
      <c r="L347" s="1374"/>
      <c r="M347" s="1374"/>
      <c r="N347" s="1374"/>
      <c r="O347" s="1374"/>
      <c r="P347" s="1374"/>
      <c r="Q347" s="1374"/>
      <c r="R347" s="1374"/>
      <c r="T347" s="3" t="s">
        <v>1185</v>
      </c>
      <c r="V347" s="3"/>
      <c r="W347" s="3"/>
      <c r="X347" s="3"/>
      <c r="Y347" s="3"/>
      <c r="AA347" s="1431" t="s">
        <v>2773</v>
      </c>
      <c r="AB347" s="1374"/>
      <c r="AC347" s="1374"/>
      <c r="AD347" s="1374"/>
      <c r="AE347" s="1374"/>
      <c r="AF347" s="1374"/>
      <c r="AG347" s="1374"/>
      <c r="AH347" s="1374"/>
      <c r="AI347" s="1374"/>
      <c r="AJ347" s="1374"/>
      <c r="AK347" s="1374"/>
    </row>
    <row r="348" spans="2:66" ht="12.9" customHeight="1">
      <c r="B348" s="3" t="s">
        <v>1187</v>
      </c>
      <c r="C348" s="3"/>
      <c r="D348" s="3"/>
      <c r="E348" s="3"/>
      <c r="F348" s="3"/>
      <c r="G348" s="3"/>
      <c r="H348" s="1500">
        <v>2138088966</v>
      </c>
      <c r="I348" s="1294"/>
      <c r="J348" s="1294"/>
      <c r="K348" s="1294"/>
      <c r="L348" s="1294"/>
      <c r="M348" s="1294"/>
      <c r="N348" s="4" t="s">
        <v>1188</v>
      </c>
      <c r="O348" s="4"/>
      <c r="P348" s="1407"/>
      <c r="Q348" s="1294"/>
      <c r="R348" s="1294"/>
      <c r="S348" s="3"/>
      <c r="T348" s="3" t="s">
        <v>1187</v>
      </c>
      <c r="V348" s="3"/>
      <c r="W348" s="3"/>
      <c r="X348" s="3"/>
      <c r="Y348" s="3"/>
      <c r="AA348" s="1500">
        <v>9168504418</v>
      </c>
      <c r="AB348" s="1294"/>
      <c r="AC348" s="1294"/>
      <c r="AD348" s="1294"/>
      <c r="AE348" s="1294"/>
      <c r="AF348" s="1294"/>
      <c r="AG348" s="4" t="s">
        <v>1188</v>
      </c>
      <c r="AH348" s="4"/>
      <c r="AI348" s="1407"/>
      <c r="AJ348" s="1294"/>
      <c r="AK348" s="1294"/>
    </row>
    <row r="349" spans="2:66" ht="12.9" customHeight="1">
      <c r="B349" s="3" t="s">
        <v>1189</v>
      </c>
      <c r="C349" s="3"/>
      <c r="D349" s="3"/>
      <c r="E349" s="3"/>
      <c r="F349" s="3"/>
      <c r="G349" s="3"/>
      <c r="H349" s="1430"/>
      <c r="I349" s="1374"/>
      <c r="J349" s="1374"/>
      <c r="K349" s="1374"/>
      <c r="L349" s="1374"/>
      <c r="M349" s="1374"/>
      <c r="N349" s="4"/>
      <c r="O349" s="4"/>
      <c r="P349" s="35"/>
      <c r="Q349" s="35"/>
      <c r="R349" s="35"/>
      <c r="S349" s="3"/>
      <c r="T349" s="3" t="s">
        <v>1189</v>
      </c>
      <c r="V349" s="3"/>
      <c r="W349" s="3"/>
      <c r="X349" s="3"/>
      <c r="Y349" s="3"/>
      <c r="AA349" s="1430">
        <v>7132685111</v>
      </c>
      <c r="AB349" s="1374"/>
      <c r="AC349" s="1374"/>
      <c r="AD349" s="1374"/>
      <c r="AE349" s="1374"/>
      <c r="AF349" s="1374"/>
      <c r="AG349" s="4"/>
      <c r="AH349" s="4"/>
      <c r="AI349" s="35"/>
      <c r="AJ349" s="35"/>
      <c r="AK349" s="35"/>
    </row>
    <row r="350" spans="2:66" ht="12.9" customHeight="1">
      <c r="B350" s="3" t="s">
        <v>1240</v>
      </c>
      <c r="C350" s="3"/>
      <c r="D350" s="3"/>
      <c r="E350" s="3"/>
      <c r="F350" s="3"/>
      <c r="G350" s="3"/>
      <c r="H350" s="1400" t="s">
        <v>1284</v>
      </c>
      <c r="I350" s="1374"/>
      <c r="J350" s="1374"/>
      <c r="K350" s="1374"/>
      <c r="L350" s="1374"/>
      <c r="M350" s="1374"/>
      <c r="N350" s="1374"/>
      <c r="O350" s="1374"/>
      <c r="P350" s="1374"/>
      <c r="Q350" s="1374"/>
      <c r="R350" s="1374"/>
      <c r="S350" s="3"/>
      <c r="T350" s="3" t="s">
        <v>1240</v>
      </c>
      <c r="V350" s="3"/>
      <c r="W350" s="3"/>
      <c r="X350" s="3"/>
      <c r="Y350" s="3"/>
      <c r="AA350" s="1431" t="s">
        <v>2774</v>
      </c>
      <c r="AB350" s="1374"/>
      <c r="AC350" s="1374"/>
      <c r="AD350" s="1374"/>
      <c r="AE350" s="1374"/>
      <c r="AF350" s="1374"/>
      <c r="AG350" s="1374"/>
      <c r="AH350" s="1374"/>
      <c r="AI350" s="1374"/>
      <c r="AJ350" s="1374"/>
      <c r="AK350" s="1374"/>
    </row>
    <row r="351" spans="2:66" ht="12.9"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935</v>
      </c>
    </row>
    <row r="352" spans="2:66" ht="12.9" customHeight="1">
      <c r="B352" s="3"/>
      <c r="C352" s="4"/>
      <c r="D352" s="4"/>
      <c r="E352" s="4"/>
      <c r="F352" s="4"/>
      <c r="I352" s="204" t="s">
        <v>1285</v>
      </c>
      <c r="P352" s="1389"/>
      <c r="Q352" s="1294"/>
      <c r="R352" s="1294"/>
      <c r="S352" s="1294"/>
      <c r="T352" s="1294"/>
      <c r="U352" s="1294"/>
      <c r="V352" s="1294"/>
      <c r="W352" s="1294"/>
      <c r="X352" s="1294"/>
      <c r="Y352" s="1294"/>
      <c r="Z352" s="1294"/>
      <c r="AA352" s="1294"/>
      <c r="AB352" s="1294"/>
      <c r="AC352" s="1294"/>
      <c r="AD352" s="1294"/>
      <c r="AE352" s="1294"/>
      <c r="BN352" t="s">
        <v>811</v>
      </c>
    </row>
    <row r="353" spans="1:66" ht="12.9" customHeight="1">
      <c r="B353" s="4"/>
      <c r="C353" s="4"/>
      <c r="D353" s="4"/>
      <c r="E353" s="4"/>
      <c r="F353" s="4"/>
      <c r="I353" s="4" t="s">
        <v>1236</v>
      </c>
      <c r="P353" s="1400"/>
      <c r="Q353" s="1374"/>
      <c r="R353" s="1374"/>
      <c r="S353" s="1374"/>
      <c r="T353" s="1374"/>
      <c r="U353" s="1374"/>
      <c r="V353" s="1374"/>
      <c r="W353" s="1374"/>
      <c r="X353" s="1374"/>
      <c r="Y353" s="1374"/>
      <c r="Z353" s="1374"/>
      <c r="AA353" s="1374"/>
      <c r="AB353" s="1374"/>
      <c r="AC353" s="1374"/>
      <c r="AD353" s="1374"/>
      <c r="AE353" s="1374"/>
      <c r="BN353" t="s">
        <v>969</v>
      </c>
    </row>
    <row r="354" spans="1:66" ht="12.9" customHeight="1">
      <c r="B354" s="4"/>
      <c r="C354" s="4"/>
      <c r="D354" s="4"/>
      <c r="E354" s="4"/>
      <c r="F354" s="4"/>
      <c r="I354" s="4" t="s">
        <v>1239</v>
      </c>
      <c r="P354" s="1400"/>
      <c r="Q354" s="1374"/>
      <c r="R354" s="1374"/>
      <c r="S354" s="1374"/>
      <c r="T354" s="1374"/>
      <c r="U354" s="1374"/>
      <c r="V354" s="1374"/>
      <c r="W354" s="1374"/>
      <c r="X354" s="1374"/>
      <c r="Y354" s="1374"/>
      <c r="Z354" s="1374"/>
      <c r="AA354" s="1374"/>
      <c r="AB354" s="1374"/>
      <c r="AC354" s="1374"/>
      <c r="AD354" s="1374"/>
      <c r="AE354" s="1374"/>
    </row>
    <row r="355" spans="1:66" ht="12.9" customHeight="1">
      <c r="B355" s="4"/>
      <c r="C355" s="4"/>
      <c r="D355" s="4"/>
      <c r="E355" s="4"/>
      <c r="F355" s="4"/>
      <c r="G355" s="4"/>
      <c r="I355" s="4" t="s">
        <v>1185</v>
      </c>
      <c r="P355" s="1400"/>
      <c r="Q355" s="1374"/>
      <c r="R355" s="1374"/>
      <c r="S355" s="1374"/>
      <c r="T355" s="1374"/>
      <c r="U355" s="1374"/>
      <c r="V355" s="1374"/>
      <c r="W355" s="1374"/>
      <c r="X355" s="1374"/>
      <c r="Y355" s="1374"/>
      <c r="Z355" s="1374"/>
      <c r="AA355" s="1374"/>
      <c r="AB355" s="1374"/>
      <c r="AC355" s="1374"/>
      <c r="AD355" s="1374"/>
      <c r="AE355" s="1374"/>
    </row>
    <row r="356" spans="1:66" ht="12.9" customHeight="1">
      <c r="B356" s="4"/>
      <c r="C356" s="4"/>
      <c r="D356" s="4"/>
      <c r="E356" s="4"/>
      <c r="F356" s="4"/>
      <c r="G356" s="4"/>
      <c r="H356" s="302"/>
      <c r="I356" s="4" t="s">
        <v>1187</v>
      </c>
      <c r="P356" s="1430"/>
      <c r="Q356" s="1374"/>
      <c r="R356" s="1374"/>
      <c r="S356" s="1374"/>
      <c r="T356" s="1374"/>
      <c r="U356" s="1374"/>
      <c r="V356" s="1374"/>
      <c r="W356" s="1374"/>
      <c r="X356" s="1374"/>
      <c r="Y356" s="1374"/>
      <c r="Z356" s="1374"/>
      <c r="AA356" s="4" t="s">
        <v>1188</v>
      </c>
      <c r="AB356" s="4"/>
      <c r="AC356" s="1440"/>
      <c r="AD356" s="1374"/>
      <c r="AE356" s="1374"/>
      <c r="AF356" s="302"/>
      <c r="AG356" s="4"/>
      <c r="AH356" s="4"/>
      <c r="AI356" s="4"/>
      <c r="AJ356" s="4"/>
      <c r="AK356" s="4"/>
    </row>
    <row r="357" spans="1:66" ht="12.9" customHeight="1">
      <c r="B357" s="4"/>
      <c r="C357" s="4"/>
      <c r="D357" s="4"/>
      <c r="E357" s="4"/>
      <c r="F357" s="4"/>
      <c r="G357" s="4"/>
      <c r="H357" s="302"/>
      <c r="I357" s="4" t="s">
        <v>1189</v>
      </c>
      <c r="P357" s="1430"/>
      <c r="Q357" s="1374"/>
      <c r="R357" s="1374"/>
      <c r="S357" s="1374"/>
      <c r="T357" s="1374"/>
      <c r="U357" s="1374"/>
      <c r="V357" s="1374"/>
      <c r="W357" s="1374"/>
      <c r="X357" s="1374"/>
      <c r="Y357" s="1374"/>
      <c r="Z357" s="1374"/>
      <c r="AF357" s="302"/>
      <c r="AG357" s="4"/>
      <c r="AH357" s="4"/>
      <c r="AI357" s="35"/>
      <c r="AJ357" s="35"/>
      <c r="AK357" s="35"/>
    </row>
    <row r="358" spans="1:66" ht="12.9" customHeight="1">
      <c r="B358" s="4"/>
      <c r="C358" s="4"/>
      <c r="D358" s="4"/>
      <c r="E358" s="4"/>
      <c r="F358" s="4"/>
      <c r="G358" s="4"/>
      <c r="I358" s="4" t="s">
        <v>1240</v>
      </c>
      <c r="P358" s="1389"/>
      <c r="Q358" s="1294"/>
      <c r="R358" s="1294"/>
      <c r="S358" s="1294"/>
      <c r="T358" s="1294"/>
      <c r="U358" s="1294"/>
      <c r="V358" s="1294"/>
      <c r="W358" s="1294"/>
      <c r="X358" s="1294"/>
      <c r="Y358" s="1294"/>
      <c r="Z358" s="1294"/>
      <c r="AA358" s="1294"/>
      <c r="AB358" s="1294"/>
      <c r="AC358" s="1294"/>
      <c r="AD358" s="1294"/>
      <c r="AE358" s="1294"/>
    </row>
    <row r="359" spans="1:66" ht="12.9" customHeight="1">
      <c r="T359" s="8"/>
      <c r="U359" s="8"/>
      <c r="V359" s="8"/>
      <c r="W359" s="8"/>
      <c r="X359" s="8"/>
      <c r="Y359" s="8"/>
      <c r="Z359" s="8"/>
      <c r="AU359" s="95"/>
      <c r="AV359" s="95"/>
      <c r="AW359" s="95"/>
      <c r="AX359" s="95"/>
      <c r="AY359" s="95"/>
    </row>
    <row r="360" spans="1:66" ht="12.9" customHeight="1">
      <c r="A360" s="1462" t="s">
        <v>1286</v>
      </c>
      <c r="B360" s="1298"/>
      <c r="C360" s="1298"/>
      <c r="D360" s="1298"/>
      <c r="E360" s="1298"/>
      <c r="F360" s="1298"/>
      <c r="G360" s="1298"/>
      <c r="H360" s="1298"/>
      <c r="I360" s="1298"/>
      <c r="J360" s="1298"/>
      <c r="K360" s="1298"/>
      <c r="L360" s="1298"/>
      <c r="M360" s="1298"/>
      <c r="N360" s="1298"/>
      <c r="O360" s="1298"/>
      <c r="P360" s="1298"/>
      <c r="Q360" s="1298"/>
      <c r="R360" s="1298"/>
      <c r="S360" s="1298"/>
      <c r="T360" s="1298"/>
      <c r="U360" s="1298"/>
      <c r="V360" s="1298"/>
      <c r="W360" s="1298"/>
      <c r="X360" s="1298"/>
      <c r="Y360" s="1298"/>
      <c r="Z360" s="1298"/>
      <c r="AA360" s="1298"/>
      <c r="AB360" s="1298"/>
      <c r="AC360" s="1298"/>
      <c r="AD360" s="1298"/>
      <c r="AE360" s="1298"/>
      <c r="AF360" s="1298"/>
      <c r="AG360" s="1298"/>
      <c r="AH360" s="1298"/>
      <c r="AI360" s="1298"/>
      <c r="AJ360" s="1298"/>
      <c r="AK360" s="1298"/>
      <c r="AL360" s="1298"/>
      <c r="AM360" s="1298"/>
      <c r="AN360" s="1298"/>
      <c r="AO360" s="1298"/>
      <c r="AP360" s="1298"/>
      <c r="AQ360" s="1298"/>
      <c r="AR360" s="1298"/>
      <c r="AS360" s="1298"/>
      <c r="AT360" s="1298"/>
      <c r="AU360" s="95"/>
      <c r="AV360" s="95"/>
      <c r="AW360" s="95"/>
      <c r="AX360" s="95"/>
      <c r="AY360" s="95"/>
    </row>
    <row r="361" spans="1:66" ht="12.9" customHeight="1">
      <c r="A361" s="1298"/>
      <c r="B361" s="1298"/>
      <c r="C361" s="1298"/>
      <c r="D361" s="1298"/>
      <c r="E361" s="1298"/>
      <c r="F361" s="1298"/>
      <c r="G361" s="1298"/>
      <c r="H361" s="1298"/>
      <c r="I361" s="1298"/>
      <c r="J361" s="1298"/>
      <c r="K361" s="1298"/>
      <c r="L361" s="1298"/>
      <c r="M361" s="1298"/>
      <c r="N361" s="1298"/>
      <c r="O361" s="1298"/>
      <c r="P361" s="1298"/>
      <c r="Q361" s="1298"/>
      <c r="R361" s="1298"/>
      <c r="S361" s="1298"/>
      <c r="T361" s="1298"/>
      <c r="U361" s="1298"/>
      <c r="V361" s="1298"/>
      <c r="W361" s="1298"/>
      <c r="X361" s="1298"/>
      <c r="Y361" s="1298"/>
      <c r="Z361" s="1298"/>
      <c r="AA361" s="1298"/>
      <c r="AB361" s="1298"/>
      <c r="AC361" s="1298"/>
      <c r="AD361" s="1298"/>
      <c r="AE361" s="1298"/>
      <c r="AF361" s="1298"/>
      <c r="AG361" s="1298"/>
      <c r="AH361" s="1298"/>
      <c r="AI361" s="1298"/>
      <c r="AJ361" s="1298"/>
      <c r="AK361" s="1298"/>
      <c r="AL361" s="1298"/>
      <c r="AM361" s="1298"/>
      <c r="AN361" s="1298"/>
      <c r="AO361" s="1298"/>
      <c r="AP361" s="1298"/>
      <c r="AQ361" s="1298"/>
      <c r="AR361" s="1298"/>
      <c r="AS361" s="1298"/>
      <c r="AT361" s="1298"/>
      <c r="AU361" s="25"/>
      <c r="AV361" s="25"/>
      <c r="AW361" s="25"/>
      <c r="AX361" s="25"/>
      <c r="AY361" s="25"/>
    </row>
    <row r="362" spans="1:66" ht="12.9"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 customHeight="1">
      <c r="A363" s="2" t="s">
        <v>994</v>
      </c>
      <c r="B363" s="2"/>
      <c r="C363" s="2" t="s">
        <v>1287</v>
      </c>
    </row>
    <row r="364" spans="1:66" ht="12.9" customHeight="1">
      <c r="D364" s="3" t="s">
        <v>803</v>
      </c>
      <c r="M364" s="1401" t="s">
        <v>935</v>
      </c>
      <c r="N364" s="1294"/>
      <c r="P364" t="s">
        <v>1288</v>
      </c>
      <c r="AJ364" s="1401" t="s">
        <v>935</v>
      </c>
      <c r="AK364" s="1294"/>
    </row>
    <row r="365" spans="1:66" ht="12.9" customHeight="1">
      <c r="D365" s="3" t="s">
        <v>801</v>
      </c>
      <c r="M365" s="1401" t="s">
        <v>935</v>
      </c>
      <c r="N365" s="1294"/>
      <c r="P365" s="3" t="s">
        <v>1289</v>
      </c>
      <c r="AJ365" s="1578"/>
      <c r="AK365" s="1374"/>
    </row>
    <row r="366" spans="1:66" ht="12.9" customHeight="1">
      <c r="D366" s="3" t="s">
        <v>1290</v>
      </c>
      <c r="M366" s="1401" t="s">
        <v>935</v>
      </c>
      <c r="N366" s="1294"/>
      <c r="P366" t="s">
        <v>1291</v>
      </c>
      <c r="AJ366" s="1401" t="s">
        <v>969</v>
      </c>
      <c r="AK366" s="1294"/>
    </row>
    <row r="367" spans="1:66" ht="12.9" customHeight="1">
      <c r="D367" s="3" t="s">
        <v>1292</v>
      </c>
      <c r="M367" s="1401" t="s">
        <v>969</v>
      </c>
      <c r="N367" s="1294"/>
      <c r="Q367" s="4"/>
    </row>
    <row r="368" spans="1:66" ht="12.9" customHeight="1">
      <c r="Q368" s="4"/>
    </row>
    <row r="369" spans="1:34" ht="12.9" customHeight="1">
      <c r="Q369" s="4"/>
    </row>
    <row r="370" spans="1:34" ht="12.9" customHeight="1">
      <c r="A370" s="2" t="s">
        <v>1031</v>
      </c>
      <c r="B370" s="2"/>
      <c r="C370" s="2" t="s">
        <v>1293</v>
      </c>
      <c r="D370" s="2"/>
    </row>
    <row r="371" spans="1:34" ht="12.9" customHeight="1">
      <c r="D371" s="39" t="s">
        <v>1294</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 customHeight="1">
      <c r="D372" s="39" t="s">
        <v>1295</v>
      </c>
      <c r="E372" s="40"/>
      <c r="F372" s="40"/>
      <c r="G372" s="40"/>
      <c r="H372" s="40"/>
      <c r="I372" s="40"/>
      <c r="J372" s="40"/>
      <c r="K372" s="40"/>
      <c r="L372" s="40"/>
      <c r="M372" s="40"/>
      <c r="N372" s="1401" t="s">
        <v>969</v>
      </c>
      <c r="O372" s="1294"/>
      <c r="P372" s="40"/>
      <c r="Q372" s="40"/>
      <c r="R372" s="40"/>
      <c r="S372" s="40"/>
      <c r="T372" s="40"/>
      <c r="U372" s="40"/>
      <c r="V372" s="40"/>
      <c r="W372" s="40"/>
      <c r="X372" s="40"/>
      <c r="Y372" s="40"/>
      <c r="Z372" s="40"/>
      <c r="AC372" s="40"/>
      <c r="AD372" s="40"/>
      <c r="AE372" s="40"/>
    </row>
    <row r="373" spans="1:34" ht="12.9" customHeight="1">
      <c r="E373" t="s">
        <v>1296</v>
      </c>
      <c r="Y373" s="1401" t="s">
        <v>935</v>
      </c>
      <c r="Z373" s="1294"/>
    </row>
    <row r="374" spans="1:34" ht="12.9" customHeight="1">
      <c r="D374" s="4" t="s">
        <v>1297</v>
      </c>
      <c r="Q374" s="1389" t="s">
        <v>1298</v>
      </c>
      <c r="R374" s="1294"/>
      <c r="S374" s="1294"/>
      <c r="T374" s="1294"/>
      <c r="U374" s="1294"/>
      <c r="V374" s="1294"/>
      <c r="W374" s="1294"/>
      <c r="X374" s="1294"/>
      <c r="Y374" s="1294"/>
      <c r="Z374" s="1294"/>
      <c r="AA374" s="1294"/>
      <c r="AB374" s="1294"/>
      <c r="AC374" s="1294"/>
      <c r="AD374" s="1294"/>
      <c r="AE374" s="1294"/>
      <c r="AF374" s="1294"/>
      <c r="AG374" s="1294"/>
    </row>
    <row r="375" spans="1:34" ht="12.9" customHeight="1">
      <c r="D375" t="s">
        <v>1299</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 customHeight="1">
      <c r="D376" t="s">
        <v>1300</v>
      </c>
      <c r="E376" s="40"/>
      <c r="F376" s="40"/>
      <c r="G376" s="40"/>
      <c r="H376" s="40"/>
      <c r="I376" s="40"/>
      <c r="J376" s="1401" t="s">
        <v>969</v>
      </c>
      <c r="K376" s="1294"/>
      <c r="L376" s="40"/>
      <c r="M376" s="40"/>
      <c r="N376" s="40"/>
      <c r="O376" s="40"/>
      <c r="P376" s="40"/>
      <c r="Q376" s="40"/>
      <c r="R376" s="40"/>
      <c r="S376" s="40"/>
      <c r="T376" s="40"/>
      <c r="U376" s="40"/>
      <c r="V376" s="40"/>
      <c r="W376" s="40"/>
      <c r="X376" s="40"/>
      <c r="Y376" s="40"/>
      <c r="Z376" s="40"/>
      <c r="AC376" s="40"/>
      <c r="AD376" s="40"/>
      <c r="AE376" s="40"/>
    </row>
    <row r="377" spans="1:34" ht="12.9" customHeight="1">
      <c r="E377" s="1447" t="s">
        <v>1301</v>
      </c>
      <c r="F377" s="1298"/>
      <c r="G377" s="1298"/>
      <c r="H377" s="1298"/>
      <c r="I377" s="1298"/>
      <c r="J377" s="1298"/>
      <c r="K377" s="1298"/>
      <c r="L377" s="1298"/>
      <c r="M377" s="1298"/>
      <c r="N377" s="1298"/>
      <c r="O377" s="1298"/>
      <c r="P377" s="1298"/>
      <c r="Q377" s="1298"/>
      <c r="R377" s="1298"/>
      <c r="S377" s="1298"/>
      <c r="T377" s="1298"/>
      <c r="U377" s="1298"/>
      <c r="V377" s="1298"/>
      <c r="W377" s="1298"/>
      <c r="X377" s="1298"/>
      <c r="Y377" s="1298"/>
      <c r="Z377" s="1298"/>
      <c r="AA377" s="1298"/>
      <c r="AB377" s="1298"/>
      <c r="AC377" s="1298"/>
      <c r="AD377" s="1298"/>
      <c r="AE377" s="1298"/>
      <c r="AF377" s="1298"/>
      <c r="AG377" s="1298"/>
      <c r="AH377" s="1298"/>
    </row>
    <row r="378" spans="1:34" ht="12.9" customHeight="1">
      <c r="E378" s="1298"/>
      <c r="F378" s="1298"/>
      <c r="G378" s="1298"/>
      <c r="H378" s="1298"/>
      <c r="I378" s="1298"/>
      <c r="J378" s="1298"/>
      <c r="K378" s="1298"/>
      <c r="L378" s="1298"/>
      <c r="M378" s="1298"/>
      <c r="N378" s="1298"/>
      <c r="O378" s="1298"/>
      <c r="P378" s="1298"/>
      <c r="Q378" s="1298"/>
      <c r="R378" s="1298"/>
      <c r="S378" s="1298"/>
      <c r="T378" s="1298"/>
      <c r="U378" s="1298"/>
      <c r="V378" s="1298"/>
      <c r="W378" s="1298"/>
      <c r="X378" s="1298"/>
      <c r="Y378" s="1298"/>
      <c r="Z378" s="1298"/>
      <c r="AA378" s="1298"/>
      <c r="AB378" s="1298"/>
      <c r="AC378" s="1298"/>
      <c r="AD378" s="1298"/>
      <c r="AE378" s="1298"/>
      <c r="AF378" s="1298"/>
      <c r="AG378" s="1298"/>
      <c r="AH378" s="1298"/>
    </row>
    <row r="379" spans="1:34" ht="12.9" customHeight="1">
      <c r="E379" s="4" t="s">
        <v>1302</v>
      </c>
      <c r="F379" s="4"/>
      <c r="G379" s="4"/>
      <c r="H379" s="4"/>
      <c r="I379" s="4"/>
      <c r="J379" s="4"/>
      <c r="K379" s="4"/>
      <c r="L379" s="4"/>
      <c r="N379" s="1457">
        <v>21</v>
      </c>
      <c r="O379" s="1294"/>
      <c r="P379" s="1294"/>
      <c r="Q379" s="1294"/>
      <c r="R379" s="4"/>
      <c r="U379" s="4" t="s">
        <v>1303</v>
      </c>
      <c r="V379" s="4"/>
      <c r="W379" s="4"/>
      <c r="X379" s="4"/>
      <c r="Y379" s="4"/>
      <c r="Z379" s="4"/>
      <c r="AA379" s="4"/>
      <c r="AB379" s="4"/>
      <c r="AC379" s="1457">
        <v>2</v>
      </c>
      <c r="AD379" s="1294"/>
      <c r="AE379" s="1294"/>
      <c r="AF379" s="1294"/>
    </row>
    <row r="380" spans="1:34" ht="12.9" customHeight="1">
      <c r="E380" s="4" t="s">
        <v>1304</v>
      </c>
      <c r="F380" s="4"/>
      <c r="G380" s="4"/>
      <c r="H380" s="4"/>
      <c r="I380" s="4"/>
      <c r="J380" s="4"/>
      <c r="K380" s="4"/>
      <c r="L380" s="4"/>
      <c r="N380" s="1457">
        <v>2</v>
      </c>
      <c r="O380" s="1294"/>
      <c r="P380" s="1294"/>
      <c r="Q380" s="1294"/>
      <c r="R380" s="4"/>
      <c r="U380" s="4" t="s">
        <v>1305</v>
      </c>
      <c r="V380" s="4"/>
      <c r="W380" s="4"/>
      <c r="X380" s="4"/>
      <c r="Y380" s="4"/>
      <c r="Z380" s="4"/>
      <c r="AA380" s="4"/>
      <c r="AB380" s="4"/>
      <c r="AC380" s="1457">
        <v>66</v>
      </c>
      <c r="AD380" s="1294"/>
      <c r="AE380" s="1294"/>
      <c r="AF380" s="1294"/>
    </row>
    <row r="381" spans="1:34" ht="12.9" customHeight="1">
      <c r="E381" s="4" t="s">
        <v>1306</v>
      </c>
      <c r="F381" s="4"/>
      <c r="G381" s="4"/>
      <c r="H381" s="4"/>
      <c r="I381" s="4"/>
      <c r="J381" s="4"/>
      <c r="K381" s="4"/>
      <c r="L381" s="4"/>
      <c r="N381" s="1457">
        <v>4</v>
      </c>
      <c r="O381" s="1294"/>
      <c r="P381" s="1294"/>
      <c r="Q381" s="1294"/>
      <c r="R381" s="4"/>
      <c r="V381" s="4"/>
      <c r="W381" s="4"/>
      <c r="X381" s="4"/>
      <c r="Y381" s="4"/>
      <c r="Z381" s="4"/>
      <c r="AA381" s="4"/>
      <c r="AB381" s="4"/>
    </row>
    <row r="382" spans="1:34" ht="12.9" customHeight="1">
      <c r="E382" s="4" t="s">
        <v>1307</v>
      </c>
      <c r="F382" s="4"/>
      <c r="G382" s="4"/>
      <c r="H382" s="4"/>
      <c r="I382" s="4"/>
      <c r="J382" s="4"/>
      <c r="K382" s="4"/>
      <c r="L382" s="4"/>
      <c r="N382" s="1595" t="s">
        <v>1308</v>
      </c>
      <c r="O382" s="1293"/>
      <c r="P382" s="1293"/>
      <c r="Q382" s="1293"/>
      <c r="R382" s="1293"/>
      <c r="S382" s="1293"/>
      <c r="T382" s="1293"/>
      <c r="U382" s="1293"/>
      <c r="V382" s="1293"/>
      <c r="W382" s="1293"/>
      <c r="X382" s="1293"/>
      <c r="Y382" s="1293"/>
      <c r="Z382" s="1293"/>
      <c r="AA382" s="1293"/>
      <c r="AB382" s="1293"/>
      <c r="AC382" s="1293"/>
      <c r="AD382" s="1293"/>
      <c r="AE382" s="1293"/>
      <c r="AF382" s="1293"/>
    </row>
    <row r="383" spans="1:34" ht="12.9" customHeight="1">
      <c r="E383" s="4"/>
      <c r="F383" s="4"/>
      <c r="G383" s="4"/>
      <c r="H383" s="4"/>
      <c r="I383" s="4"/>
      <c r="J383" s="4"/>
      <c r="K383" s="4"/>
      <c r="L383" s="4"/>
      <c r="N383" s="1294"/>
      <c r="O383" s="1294"/>
      <c r="P383" s="1294"/>
      <c r="Q383" s="1294"/>
      <c r="R383" s="1294"/>
      <c r="S383" s="1294"/>
      <c r="T383" s="1294"/>
      <c r="U383" s="1294"/>
      <c r="V383" s="1294"/>
      <c r="W383" s="1294"/>
      <c r="X383" s="1294"/>
      <c r="Y383" s="1294"/>
      <c r="Z383" s="1294"/>
      <c r="AA383" s="1294"/>
      <c r="AB383" s="1294"/>
      <c r="AC383" s="1294"/>
      <c r="AD383" s="1294"/>
      <c r="AE383" s="1294"/>
      <c r="AF383" s="1294"/>
    </row>
    <row r="384" spans="1:34" ht="12.9" customHeight="1">
      <c r="C384" s="512"/>
      <c r="E384" s="4"/>
      <c r="F384" s="4"/>
      <c r="G384" s="4"/>
      <c r="H384" s="4"/>
      <c r="I384" s="4"/>
      <c r="J384" s="4"/>
      <c r="K384" s="4"/>
      <c r="L384" s="4"/>
    </row>
    <row r="385" spans="1:36" ht="12.9" customHeight="1">
      <c r="D385" s="2" t="s">
        <v>1309</v>
      </c>
      <c r="E385" s="2"/>
      <c r="F385" s="4"/>
      <c r="G385" s="4"/>
      <c r="H385" s="4"/>
      <c r="I385" s="4"/>
      <c r="J385" s="4"/>
      <c r="K385" s="4"/>
      <c r="L385" s="4"/>
    </row>
    <row r="386" spans="1:36" ht="12.9" customHeight="1">
      <c r="E386" s="4" t="s">
        <v>1310</v>
      </c>
      <c r="F386" s="4"/>
      <c r="G386" s="4"/>
      <c r="H386" s="4"/>
      <c r="I386" s="4"/>
      <c r="J386" s="4"/>
      <c r="K386" s="4"/>
      <c r="L386" s="4"/>
      <c r="N386" t="s">
        <v>1008</v>
      </c>
      <c r="R386" s="27" t="s">
        <v>1009</v>
      </c>
      <c r="S386" s="1571">
        <v>2002</v>
      </c>
      <c r="T386" s="1294"/>
      <c r="U386" s="1" t="s">
        <v>1010</v>
      </c>
      <c r="V386" s="1571">
        <v>253</v>
      </c>
      <c r="W386" s="1294"/>
      <c r="Y386" t="s">
        <v>1008</v>
      </c>
      <c r="AC386" s="27" t="s">
        <v>1009</v>
      </c>
      <c r="AD386" s="1571">
        <v>2003</v>
      </c>
      <c r="AE386" s="1294"/>
      <c r="AF386" s="1" t="s">
        <v>1010</v>
      </c>
      <c r="AG386" s="1571">
        <v>848</v>
      </c>
      <c r="AH386" s="1294"/>
    </row>
    <row r="387" spans="1:36" ht="12.9" customHeight="1">
      <c r="E387" s="4" t="s">
        <v>1311</v>
      </c>
      <c r="F387" s="4"/>
      <c r="G387" s="4"/>
      <c r="H387" s="4"/>
      <c r="I387" s="4"/>
      <c r="J387" s="4"/>
      <c r="K387" s="4"/>
      <c r="L387" s="4"/>
      <c r="N387" s="1571">
        <v>2004</v>
      </c>
      <c r="O387" s="1294"/>
      <c r="P387" s="1294"/>
    </row>
    <row r="388" spans="1:36" ht="12.9" customHeight="1">
      <c r="E388" s="204" t="s">
        <v>1312</v>
      </c>
      <c r="F388" s="4"/>
      <c r="G388" s="4"/>
      <c r="H388" s="4"/>
      <c r="I388" s="4"/>
      <c r="J388" s="4"/>
      <c r="K388" s="4"/>
      <c r="L388" s="4"/>
      <c r="AG388" s="1591" t="s">
        <v>935</v>
      </c>
      <c r="AH388" s="1294"/>
    </row>
    <row r="389" spans="1:36" ht="12.9" customHeight="1">
      <c r="E389" s="4"/>
      <c r="F389" s="4"/>
      <c r="G389" s="4" t="s">
        <v>1313</v>
      </c>
      <c r="H389" s="4"/>
      <c r="I389" s="4"/>
      <c r="J389" s="4"/>
      <c r="K389" s="4"/>
      <c r="L389" s="4"/>
      <c r="AG389" s="1591" t="s">
        <v>811</v>
      </c>
      <c r="AH389" s="1294"/>
    </row>
    <row r="390" spans="1:36" ht="12.9" customHeight="1">
      <c r="E390" s="4"/>
      <c r="F390" s="4"/>
      <c r="G390" s="320" t="s">
        <v>1314</v>
      </c>
      <c r="H390" s="4"/>
      <c r="I390" s="4"/>
      <c r="J390" s="4"/>
      <c r="K390" s="4"/>
      <c r="L390" s="4"/>
      <c r="V390" s="1401" t="s">
        <v>935</v>
      </c>
      <c r="W390" s="1294"/>
      <c r="Y390" s="22" t="s">
        <v>1315</v>
      </c>
    </row>
    <row r="391" spans="1:36" ht="12.9" customHeight="1">
      <c r="E391" s="4" t="s">
        <v>1316</v>
      </c>
      <c r="F391" s="4"/>
      <c r="G391" s="4"/>
      <c r="H391" s="4"/>
      <c r="I391" s="4"/>
      <c r="J391" s="4"/>
      <c r="K391" s="4"/>
      <c r="L391" s="4"/>
      <c r="V391" s="1401" t="s">
        <v>935</v>
      </c>
      <c r="W391" s="1294"/>
      <c r="Y391" s="4" t="s">
        <v>1317</v>
      </c>
    </row>
    <row r="392" spans="1:36" ht="12.9" customHeight="1"/>
    <row r="393" spans="1:36" ht="12.9" customHeight="1">
      <c r="A393" s="2" t="s">
        <v>1318</v>
      </c>
      <c r="B393" s="2"/>
    </row>
    <row r="394" spans="1:36" ht="12.9" customHeight="1">
      <c r="D394" t="s">
        <v>1319</v>
      </c>
      <c r="J394" s="1393" t="s">
        <v>2764</v>
      </c>
      <c r="K394" s="1294"/>
      <c r="L394" s="1294"/>
      <c r="M394" s="1294"/>
      <c r="N394" s="1294"/>
      <c r="O394" s="1294"/>
      <c r="P394" s="1294"/>
      <c r="Q394" s="1294"/>
      <c r="R394" s="1294"/>
      <c r="S394" s="1294"/>
      <c r="T394" s="1294"/>
      <c r="U394" s="1294"/>
      <c r="V394" s="8" t="s">
        <v>1320</v>
      </c>
      <c r="W394" s="8"/>
      <c r="X394" s="8"/>
      <c r="Y394" s="8"/>
      <c r="Z394" s="8"/>
      <c r="AA394" s="8"/>
      <c r="AB394" s="8"/>
      <c r="AC394" s="1393" t="s">
        <v>2765</v>
      </c>
      <c r="AD394" s="1294"/>
      <c r="AE394" s="1294"/>
      <c r="AF394" s="1294"/>
      <c r="AG394" s="1294"/>
      <c r="AH394" s="1294"/>
      <c r="AI394" s="1294"/>
      <c r="AJ394" s="1294"/>
    </row>
    <row r="395" spans="1:36" ht="12.9" customHeight="1">
      <c r="D395" s="3" t="s">
        <v>1321</v>
      </c>
      <c r="J395" s="1431" t="s">
        <v>2765</v>
      </c>
      <c r="K395" s="1374"/>
      <c r="L395" s="1374"/>
      <c r="M395" s="1374"/>
      <c r="N395" s="1374"/>
      <c r="O395" s="1374"/>
      <c r="P395" s="1374"/>
      <c r="Q395" s="1374"/>
      <c r="R395" s="1374"/>
      <c r="S395" s="1374"/>
      <c r="T395" s="1374"/>
      <c r="U395" s="1374"/>
      <c r="V395" s="3" t="s">
        <v>1321</v>
      </c>
      <c r="W395" s="8"/>
      <c r="X395" s="8"/>
      <c r="Y395" s="8"/>
      <c r="Z395" s="8"/>
      <c r="AA395" s="8"/>
      <c r="AB395" s="8"/>
      <c r="AC395" s="1393" t="s">
        <v>1326</v>
      </c>
      <c r="AD395" s="1294"/>
      <c r="AE395" s="1294"/>
      <c r="AF395" s="1294"/>
      <c r="AG395" s="1294"/>
      <c r="AH395" s="1294"/>
      <c r="AI395" s="1294"/>
      <c r="AJ395" s="1294"/>
    </row>
    <row r="396" spans="1:36" ht="12.9" customHeight="1">
      <c r="D396" s="3" t="s">
        <v>933</v>
      </c>
      <c r="J396" s="1431" t="s">
        <v>2766</v>
      </c>
      <c r="K396" s="1374"/>
      <c r="L396" s="1374"/>
      <c r="M396" s="1374"/>
      <c r="N396" s="1374"/>
      <c r="O396" s="1374"/>
      <c r="P396" s="1374"/>
      <c r="Q396" s="1374"/>
      <c r="R396" s="1374"/>
      <c r="S396" s="1374"/>
      <c r="T396" s="1374"/>
      <c r="U396" s="1374"/>
      <c r="V396" s="3" t="s">
        <v>933</v>
      </c>
      <c r="W396" s="8"/>
      <c r="X396" s="8"/>
      <c r="Y396" s="8"/>
      <c r="Z396" s="8"/>
      <c r="AA396" s="8"/>
      <c r="AB396" s="8"/>
      <c r="AC396" s="1393" t="s">
        <v>1326</v>
      </c>
      <c r="AD396" s="1294"/>
      <c r="AE396" s="1294"/>
      <c r="AF396" s="1294"/>
      <c r="AG396" s="1294"/>
      <c r="AH396" s="1294"/>
      <c r="AI396" s="1294"/>
      <c r="AJ396" s="1294"/>
    </row>
    <row r="397" spans="1:36" ht="12.9" customHeight="1">
      <c r="D397" t="s">
        <v>1322</v>
      </c>
      <c r="J397" s="1442" t="s">
        <v>2767</v>
      </c>
      <c r="K397" s="1374"/>
      <c r="L397" s="1374"/>
      <c r="M397" s="1374"/>
      <c r="N397" s="1374"/>
      <c r="O397" s="1374"/>
      <c r="P397" s="1374"/>
      <c r="Q397" s="1374"/>
      <c r="R397" s="1374"/>
      <c r="S397" s="1374"/>
      <c r="T397" s="1374"/>
      <c r="U397" s="1374"/>
      <c r="V397" s="1393" t="s">
        <v>2768</v>
      </c>
      <c r="W397" s="1294"/>
      <c r="X397" s="1294"/>
      <c r="Y397" s="1294"/>
      <c r="Z397" s="1294"/>
      <c r="AA397" s="1294"/>
      <c r="AB397" s="1294"/>
      <c r="AC397" s="1294"/>
      <c r="AD397" s="1294"/>
      <c r="AE397" s="1294"/>
      <c r="AF397" s="1294"/>
      <c r="AG397" s="1294"/>
      <c r="AH397" s="1294"/>
      <c r="AI397" s="1294"/>
      <c r="AJ397" s="1294"/>
    </row>
    <row r="398" spans="1:36" ht="12.9" customHeight="1">
      <c r="D398" t="s">
        <v>1323</v>
      </c>
      <c r="Q398" s="1573">
        <v>46113</v>
      </c>
      <c r="R398" s="1374"/>
      <c r="S398" s="1374"/>
      <c r="T398" s="1374"/>
      <c r="U398" s="1374"/>
      <c r="V398" t="s">
        <v>1324</v>
      </c>
      <c r="AI398" s="1401" t="s">
        <v>811</v>
      </c>
      <c r="AJ398" s="1294"/>
    </row>
    <row r="399" spans="1:36" ht="12.9" customHeight="1">
      <c r="D399" t="s">
        <v>1325</v>
      </c>
      <c r="Q399" s="1624" t="s">
        <v>1326</v>
      </c>
      <c r="R399" s="1374"/>
      <c r="S399" s="1374"/>
      <c r="T399" s="1374"/>
      <c r="U399" s="1374"/>
      <c r="W399" s="21" t="s">
        <v>1327</v>
      </c>
      <c r="AG399" s="1506">
        <v>0</v>
      </c>
      <c r="AH399" s="1294"/>
      <c r="AI399" s="1294"/>
      <c r="AJ399" s="1294"/>
    </row>
    <row r="400" spans="1:36" ht="12.9" customHeight="1">
      <c r="D400" t="s">
        <v>1328</v>
      </c>
      <c r="Q400" s="1569">
        <v>13435000</v>
      </c>
      <c r="R400" s="1374"/>
      <c r="S400" s="1374"/>
      <c r="T400" s="1374"/>
      <c r="U400" s="1374"/>
      <c r="V400" s="3" t="s">
        <v>1329</v>
      </c>
      <c r="AG400" s="1464">
        <v>46204</v>
      </c>
      <c r="AH400" s="1374"/>
      <c r="AI400" s="1374"/>
      <c r="AJ400" s="1374"/>
    </row>
    <row r="401" spans="4:36" ht="12.9" customHeight="1">
      <c r="D401" t="s">
        <v>1187</v>
      </c>
      <c r="I401" s="1500">
        <v>2135922147</v>
      </c>
      <c r="J401" s="1294"/>
      <c r="K401" s="1294"/>
      <c r="L401" s="1294"/>
      <c r="M401" s="1294"/>
      <c r="N401" s="1294"/>
      <c r="Q401" s="4" t="s">
        <v>1188</v>
      </c>
      <c r="S401" s="1533" t="s">
        <v>1326</v>
      </c>
      <c r="T401" s="1374"/>
      <c r="U401" s="1374"/>
      <c r="V401" t="s">
        <v>1330</v>
      </c>
      <c r="AI401" s="1401" t="s">
        <v>811</v>
      </c>
      <c r="AJ401" s="1294"/>
    </row>
    <row r="402" spans="4:36" ht="12.9" customHeight="1">
      <c r="D402" t="s">
        <v>1331</v>
      </c>
      <c r="Q402" s="1652">
        <v>0</v>
      </c>
      <c r="R402" s="1294"/>
      <c r="S402" s="1294"/>
      <c r="T402" s="1294"/>
      <c r="U402" s="1294"/>
      <c r="V402" t="s">
        <v>1332</v>
      </c>
      <c r="AG402" s="1506">
        <v>0</v>
      </c>
      <c r="AH402" s="1294"/>
      <c r="AI402" s="1294"/>
      <c r="AJ402" s="1294"/>
    </row>
    <row r="403" spans="4:36" ht="12.9" customHeight="1">
      <c r="D403" t="s">
        <v>1333</v>
      </c>
      <c r="Q403" s="1537">
        <v>0.02</v>
      </c>
      <c r="R403" s="1374"/>
      <c r="S403" s="1374"/>
      <c r="T403" s="1374"/>
      <c r="U403" s="1374"/>
      <c r="V403" t="s">
        <v>1334</v>
      </c>
      <c r="AG403" s="1506">
        <v>0</v>
      </c>
      <c r="AH403" s="1294"/>
      <c r="AI403" s="1294"/>
      <c r="AJ403" s="1294"/>
    </row>
    <row r="404" spans="4:36" ht="12.9" customHeight="1">
      <c r="D404" t="s">
        <v>1335</v>
      </c>
      <c r="AG404" s="1506">
        <v>0</v>
      </c>
      <c r="AH404" s="1294"/>
      <c r="AI404" s="1294"/>
      <c r="AJ404" s="1294"/>
    </row>
    <row r="405" spans="4:36" ht="12.9" customHeight="1">
      <c r="AG405" s="456"/>
      <c r="AH405" s="456"/>
      <c r="AI405" s="456"/>
      <c r="AJ405" s="456"/>
    </row>
    <row r="406" spans="4:36" ht="12.9" customHeight="1">
      <c r="D406" s="3" t="s">
        <v>1336</v>
      </c>
      <c r="AG406" s="456"/>
      <c r="AH406" s="456"/>
      <c r="AI406" s="1401" t="s">
        <v>811</v>
      </c>
      <c r="AJ406" s="1294"/>
    </row>
    <row r="407" spans="4:36" ht="12.9" customHeight="1">
      <c r="D407" s="3" t="s">
        <v>1337</v>
      </c>
      <c r="T407" s="1481" t="s">
        <v>935</v>
      </c>
      <c r="U407" s="1294"/>
      <c r="V407" s="1294"/>
      <c r="W407" s="1294"/>
      <c r="X407" s="1294"/>
      <c r="Y407" s="1294"/>
      <c r="Z407" s="1294"/>
      <c r="AA407" s="1294"/>
      <c r="AB407" s="1294"/>
      <c r="AC407" s="1294"/>
      <c r="AD407" s="1294"/>
      <c r="AE407" s="1294"/>
      <c r="AF407" s="1294"/>
      <c r="AG407" s="1294"/>
      <c r="AH407" s="1294"/>
      <c r="AI407" s="1294"/>
      <c r="AJ407" s="1294"/>
    </row>
    <row r="408" spans="4:36" ht="12.9" customHeight="1">
      <c r="D408" s="3" t="s">
        <v>1338</v>
      </c>
      <c r="T408" s="1481" t="s">
        <v>935</v>
      </c>
      <c r="U408" s="1294"/>
      <c r="V408" s="1294"/>
      <c r="W408" s="1294"/>
      <c r="X408" s="1294"/>
      <c r="Y408" s="1294"/>
      <c r="Z408" s="1294"/>
      <c r="AA408" s="1294"/>
      <c r="AB408" s="1294"/>
      <c r="AC408" s="1294"/>
      <c r="AD408" s="1294"/>
      <c r="AE408" s="1294"/>
      <c r="AF408" s="1294"/>
      <c r="AG408" s="1294"/>
      <c r="AH408" s="1294"/>
      <c r="AI408" s="1294"/>
      <c r="AJ408" s="1294"/>
    </row>
    <row r="409" spans="4:36" ht="12.9" customHeight="1">
      <c r="AG409" s="456"/>
      <c r="AH409" s="456"/>
      <c r="AI409" s="456"/>
      <c r="AJ409" s="456"/>
    </row>
    <row r="410" spans="4:36" ht="12.9" customHeight="1">
      <c r="D410" s="3" t="s">
        <v>1339</v>
      </c>
      <c r="S410" s="1496" t="s">
        <v>811</v>
      </c>
      <c r="T410" s="1294"/>
      <c r="U410" s="1294"/>
      <c r="V410" t="s">
        <v>1340</v>
      </c>
      <c r="AG410" s="1534"/>
      <c r="AH410" s="1294"/>
      <c r="AI410" s="1294"/>
      <c r="AJ410" s="1294"/>
    </row>
    <row r="411" spans="4:36" ht="12.9" customHeight="1">
      <c r="D411" s="3" t="s">
        <v>1341</v>
      </c>
      <c r="S411" s="1496" t="s">
        <v>935</v>
      </c>
      <c r="T411" s="1294"/>
      <c r="U411" s="1294"/>
      <c r="V411" t="s">
        <v>1342</v>
      </c>
      <c r="AE411" s="1477"/>
      <c r="AF411" s="1294"/>
      <c r="AG411" s="1294"/>
      <c r="AH411" s="1294"/>
      <c r="AI411" s="1294"/>
      <c r="AJ411" s="1294"/>
    </row>
    <row r="412" spans="4:36" ht="12.9" customHeight="1">
      <c r="D412" s="3" t="s">
        <v>1343</v>
      </c>
      <c r="K412" s="1524" t="s">
        <v>935</v>
      </c>
      <c r="L412" s="1294"/>
      <c r="M412" s="1294"/>
      <c r="N412" s="1294"/>
      <c r="O412" s="1294"/>
      <c r="P412" s="1294"/>
      <c r="Q412" s="1294"/>
      <c r="R412" s="1294"/>
      <c r="S412" s="1294"/>
      <c r="T412" s="1294"/>
      <c r="U412" s="1294"/>
      <c r="V412" s="1294"/>
      <c r="W412" s="1294"/>
      <c r="X412" s="1294"/>
      <c r="Y412" s="1294"/>
      <c r="Z412" s="1294"/>
      <c r="AA412" s="1294"/>
      <c r="AB412" s="1294"/>
      <c r="AC412" s="1294"/>
      <c r="AD412" s="1294"/>
      <c r="AE412" s="1294"/>
      <c r="AF412" s="1294"/>
      <c r="AG412" s="1294"/>
      <c r="AH412" s="1294"/>
      <c r="AI412" s="1294"/>
      <c r="AJ412" s="1294"/>
    </row>
    <row r="413" spans="4:36" ht="12.9" customHeight="1">
      <c r="D413" s="3" t="s">
        <v>1344</v>
      </c>
      <c r="K413" s="1524" t="s">
        <v>935</v>
      </c>
      <c r="L413" s="1294"/>
      <c r="M413" s="1294"/>
      <c r="N413" s="1294"/>
      <c r="O413" s="1294"/>
      <c r="P413" s="1294"/>
      <c r="Q413" s="1294"/>
      <c r="R413" s="1294"/>
      <c r="S413" s="1294"/>
      <c r="T413" s="1294"/>
      <c r="U413" s="1294"/>
      <c r="V413" s="1294"/>
      <c r="W413" s="1294"/>
      <c r="X413" s="1294"/>
      <c r="Y413" s="1294"/>
      <c r="Z413" s="1294"/>
      <c r="AA413" s="1294"/>
      <c r="AB413" s="1294"/>
      <c r="AC413" s="1294"/>
      <c r="AD413" s="1294"/>
      <c r="AE413" s="1294"/>
      <c r="AF413" s="1294"/>
      <c r="AG413" s="1294"/>
      <c r="AH413" s="1294"/>
      <c r="AI413" s="1294"/>
      <c r="AJ413" s="1294"/>
    </row>
    <row r="414" spans="4:36" ht="12.9" customHeight="1">
      <c r="D414" s="3" t="s">
        <v>1345</v>
      </c>
      <c r="E414" s="477"/>
      <c r="F414" s="477"/>
      <c r="G414" s="477"/>
      <c r="H414" s="477"/>
      <c r="I414" s="477"/>
      <c r="J414" s="477"/>
      <c r="K414" s="477"/>
      <c r="L414" s="477"/>
      <c r="M414" s="477"/>
      <c r="N414" s="477"/>
      <c r="O414" s="477"/>
      <c r="P414" s="477"/>
      <c r="Q414" s="477"/>
      <c r="R414" s="477"/>
      <c r="S414" s="1561" t="s">
        <v>2769</v>
      </c>
      <c r="T414" s="1374"/>
      <c r="U414" s="1374"/>
      <c r="V414" s="1374"/>
      <c r="W414" s="1374"/>
      <c r="X414" s="1374"/>
      <c r="Y414" s="1374"/>
      <c r="Z414" s="1374"/>
      <c r="AA414" s="1374"/>
      <c r="AB414" s="1374"/>
      <c r="AC414" s="1374"/>
      <c r="AD414" s="1374"/>
      <c r="AE414" s="1374"/>
      <c r="AF414" s="1374"/>
      <c r="AG414" s="1374"/>
      <c r="AH414" s="1374"/>
      <c r="AI414" s="1374"/>
      <c r="AJ414" s="1374"/>
    </row>
    <row r="415" spans="4:36" ht="12.9" customHeight="1">
      <c r="D415" s="1300" t="s">
        <v>1346</v>
      </c>
      <c r="E415" s="1298"/>
      <c r="F415" s="1298"/>
      <c r="G415" s="1298"/>
      <c r="H415" s="1298"/>
      <c r="I415" s="1298"/>
      <c r="J415" s="1298"/>
      <c r="K415" s="1298"/>
      <c r="L415" s="1298"/>
      <c r="M415" s="1298"/>
      <c r="N415" s="1298"/>
      <c r="O415" s="1298"/>
      <c r="P415" s="1298"/>
      <c r="Q415" s="1298"/>
      <c r="R415" s="1298"/>
      <c r="S415" s="1298"/>
      <c r="T415" s="1298"/>
      <c r="U415" s="1298"/>
      <c r="V415" s="1298"/>
      <c r="W415" s="1298"/>
      <c r="X415" s="1298"/>
      <c r="Y415" s="1298"/>
      <c r="Z415" s="1298"/>
      <c r="AA415" s="1298"/>
      <c r="AB415" s="1298"/>
      <c r="AC415" s="1298"/>
      <c r="AD415" s="1298"/>
      <c r="AE415" s="1298"/>
      <c r="AF415" s="1298"/>
      <c r="AG415" s="1298"/>
      <c r="AH415" s="1298"/>
      <c r="AI415" s="1298"/>
      <c r="AJ415" s="1298"/>
    </row>
    <row r="416" spans="4:36" ht="12.9" customHeight="1">
      <c r="D416" s="1298"/>
      <c r="E416" s="1298"/>
      <c r="F416" s="1298"/>
      <c r="G416" s="1298"/>
      <c r="H416" s="1298"/>
      <c r="I416" s="1298"/>
      <c r="J416" s="1298"/>
      <c r="K416" s="1298"/>
      <c r="L416" s="1298"/>
      <c r="M416" s="1298"/>
      <c r="N416" s="1298"/>
      <c r="O416" s="1298"/>
      <c r="P416" s="1298"/>
      <c r="Q416" s="1298"/>
      <c r="R416" s="1298"/>
      <c r="S416" s="1298"/>
      <c r="T416" s="1298"/>
      <c r="U416" s="1298"/>
      <c r="V416" s="1298"/>
      <c r="W416" s="1298"/>
      <c r="X416" s="1298"/>
      <c r="Y416" s="1298"/>
      <c r="Z416" s="1298"/>
      <c r="AA416" s="1298"/>
      <c r="AB416" s="1298"/>
      <c r="AC416" s="1298"/>
      <c r="AD416" s="1298"/>
      <c r="AE416" s="1298"/>
      <c r="AF416" s="1298"/>
      <c r="AG416" s="1298"/>
      <c r="AH416" s="1298"/>
      <c r="AI416" s="1298"/>
      <c r="AJ416" s="1298"/>
    </row>
    <row r="417" spans="1:39" ht="12.9" customHeight="1">
      <c r="AG417" s="456"/>
      <c r="AH417" s="456"/>
      <c r="AI417" s="456"/>
      <c r="AJ417" s="456"/>
    </row>
    <row r="418" spans="1:39" ht="12.9" customHeight="1">
      <c r="A418" s="2" t="s">
        <v>1123</v>
      </c>
      <c r="B418" s="2"/>
      <c r="C418" s="2" t="s">
        <v>257</v>
      </c>
    </row>
    <row r="419" spans="1:39" ht="12.9" customHeight="1">
      <c r="B419" s="2"/>
      <c r="C419" s="2"/>
      <c r="D419" s="2" t="s">
        <v>1347</v>
      </c>
      <c r="I419" s="1393" t="s">
        <v>1348</v>
      </c>
      <c r="J419" s="1294"/>
      <c r="K419" s="1294"/>
      <c r="L419" s="1294"/>
      <c r="M419" s="1294"/>
      <c r="N419" s="1294"/>
      <c r="O419" s="1294"/>
      <c r="P419" s="1294"/>
      <c r="Q419" s="1294"/>
      <c r="R419" s="1294"/>
      <c r="S419" s="1294"/>
      <c r="T419" s="1294"/>
      <c r="U419" s="1294"/>
      <c r="V419" s="1294"/>
      <c r="W419" s="1294"/>
      <c r="X419" s="1294"/>
      <c r="Y419" s="1294"/>
      <c r="Z419" s="1294"/>
      <c r="AA419" s="1294"/>
      <c r="AB419" s="1294"/>
      <c r="AC419" s="1294"/>
      <c r="AD419" s="1294"/>
      <c r="AE419" s="1294"/>
    </row>
    <row r="420" spans="1:39" ht="12.9" customHeight="1">
      <c r="E420" t="s">
        <v>1349</v>
      </c>
      <c r="R420" s="1401" t="s">
        <v>969</v>
      </c>
      <c r="S420" s="1294"/>
      <c r="AC420" s="27" t="s">
        <v>1350</v>
      </c>
      <c r="AD420" s="1457">
        <v>4</v>
      </c>
      <c r="AE420" s="1294"/>
    </row>
    <row r="421" spans="1:39" ht="12.9" customHeight="1">
      <c r="E421" t="s">
        <v>1351</v>
      </c>
      <c r="R421" s="1401" t="s">
        <v>935</v>
      </c>
      <c r="S421" s="1294"/>
      <c r="AC421" s="27" t="s">
        <v>1350</v>
      </c>
      <c r="AD421" s="1655" t="s">
        <v>935</v>
      </c>
      <c r="AE421" s="1294"/>
    </row>
    <row r="422" spans="1:39" ht="12.9" customHeight="1">
      <c r="E422" t="s">
        <v>1352</v>
      </c>
      <c r="S422" s="1401" t="s">
        <v>935</v>
      </c>
      <c r="T422" s="1294"/>
    </row>
    <row r="423" spans="1:39" ht="12.9" customHeight="1">
      <c r="E423" t="s">
        <v>345</v>
      </c>
      <c r="H423" s="1527" t="s">
        <v>2770</v>
      </c>
      <c r="I423" s="1293"/>
      <c r="J423" s="1293"/>
      <c r="K423" s="1293"/>
      <c r="L423" s="1293"/>
      <c r="M423" s="1293"/>
      <c r="N423" s="1293"/>
      <c r="O423" s="1293"/>
      <c r="P423" s="1293"/>
      <c r="Q423" s="1293"/>
      <c r="R423" s="1293"/>
      <c r="S423" s="1293"/>
      <c r="T423" s="1293"/>
      <c r="U423" s="1293"/>
      <c r="V423" s="1293"/>
      <c r="W423" s="1293"/>
      <c r="X423" s="1293"/>
      <c r="Y423" s="1293"/>
      <c r="Z423" s="1293"/>
      <c r="AA423" s="1293"/>
      <c r="AB423" s="1293"/>
      <c r="AC423" s="1293"/>
      <c r="AD423" s="1293"/>
      <c r="AE423" s="1293"/>
    </row>
    <row r="424" spans="1:39" ht="12.9" customHeight="1">
      <c r="H424" s="1294"/>
      <c r="I424" s="1294"/>
      <c r="J424" s="1294"/>
      <c r="K424" s="1294"/>
      <c r="L424" s="1294"/>
      <c r="M424" s="1294"/>
      <c r="N424" s="1294"/>
      <c r="O424" s="1294"/>
      <c r="P424" s="1294"/>
      <c r="Q424" s="1294"/>
      <c r="R424" s="1294"/>
      <c r="S424" s="1294"/>
      <c r="T424" s="1294"/>
      <c r="U424" s="1294"/>
      <c r="V424" s="1294"/>
      <c r="W424" s="1294"/>
      <c r="X424" s="1294"/>
      <c r="Y424" s="1294"/>
      <c r="Z424" s="1294"/>
      <c r="AA424" s="1294"/>
      <c r="AB424" s="1294"/>
      <c r="AC424" s="1294"/>
      <c r="AD424" s="1294"/>
      <c r="AE424" s="1294"/>
    </row>
    <row r="425" spans="1:39" ht="12.9" customHeight="1"/>
    <row r="426" spans="1:39" ht="12.9" customHeight="1">
      <c r="A426" s="2" t="s">
        <v>1135</v>
      </c>
      <c r="B426" s="2"/>
      <c r="C426" s="2"/>
      <c r="D426" s="2" t="s">
        <v>262</v>
      </c>
      <c r="AF426" s="2" t="s">
        <v>1354</v>
      </c>
    </row>
    <row r="427" spans="1:39" ht="12.9" customHeight="1">
      <c r="E427" s="1571"/>
      <c r="F427" s="1294"/>
      <c r="G427" s="1294"/>
      <c r="H427" s="13" t="s">
        <v>1355</v>
      </c>
      <c r="I427" s="1571"/>
      <c r="J427" s="1294"/>
      <c r="K427" s="1294"/>
      <c r="L427" t="s">
        <v>1356</v>
      </c>
      <c r="N427" s="27" t="s">
        <v>148</v>
      </c>
      <c r="P427" s="1499">
        <v>1.21</v>
      </c>
      <c r="Q427" s="1294"/>
      <c r="R427" s="1294"/>
      <c r="S427" t="s">
        <v>1357</v>
      </c>
      <c r="W427" s="1528">
        <f>IF(E427&gt;0,(E427*I427),(P427*43560))</f>
        <v>52707.6</v>
      </c>
      <c r="X427" s="1405"/>
      <c r="Y427" s="1405"/>
      <c r="Z427" t="s">
        <v>1358</v>
      </c>
      <c r="AF427" s="1482">
        <f>IFERROR(IF(P427&gt;0,(AG446/P427),(AG446/(W427/43560))),0)</f>
        <v>54.545454545454547</v>
      </c>
      <c r="AG427" s="1405"/>
      <c r="AH427" s="1405"/>
      <c r="AM427" s="3"/>
    </row>
    <row r="428" spans="1:39" ht="12.9" customHeight="1">
      <c r="E428" t="s">
        <v>1359</v>
      </c>
    </row>
    <row r="429" spans="1:39" ht="12.9" customHeight="1">
      <c r="E429" s="1632" t="s">
        <v>935</v>
      </c>
      <c r="F429" s="1294"/>
      <c r="G429" s="1294"/>
      <c r="H429" s="1294"/>
      <c r="I429" s="1294"/>
      <c r="J429" s="1294"/>
      <c r="K429" s="1294"/>
      <c r="L429" s="1294"/>
      <c r="M429" s="1294"/>
      <c r="N429" s="1294"/>
      <c r="O429" s="1294"/>
      <c r="P429" s="1294"/>
      <c r="Q429" s="1294"/>
      <c r="R429" s="1294"/>
      <c r="S429" s="1294"/>
      <c r="T429" s="1294"/>
      <c r="U429" s="1294"/>
      <c r="V429" s="1294"/>
      <c r="W429" s="1294"/>
      <c r="X429" s="1294"/>
      <c r="Y429" s="1294"/>
      <c r="Z429" s="1294"/>
      <c r="AA429" s="1294"/>
      <c r="AB429" s="1294"/>
      <c r="AC429" s="1294"/>
      <c r="AD429" s="1294"/>
      <c r="AE429" s="1294"/>
      <c r="AF429" s="1294"/>
      <c r="AG429" s="1294"/>
      <c r="AH429" s="1294"/>
      <c r="AI429" s="1294"/>
      <c r="AJ429" s="1294"/>
    </row>
    <row r="430" spans="1:39" ht="12.9" customHeight="1">
      <c r="E430" s="118" t="s">
        <v>1360</v>
      </c>
      <c r="F430" s="1008"/>
      <c r="G430" s="1008"/>
      <c r="H430" s="1008"/>
      <c r="I430" s="1572">
        <v>1.21</v>
      </c>
      <c r="J430" s="1294"/>
      <c r="K430" s="1294"/>
      <c r="L430" s="1008"/>
      <c r="M430" s="118"/>
      <c r="N430" s="1008"/>
      <c r="O430" s="1008"/>
      <c r="P430" s="1435">
        <f>(DU763+DU786+DU808)/I430</f>
        <v>132.2314049586777</v>
      </c>
      <c r="Q430" s="1405"/>
      <c r="R430" s="1405"/>
      <c r="S430" s="118" t="s">
        <v>1361</v>
      </c>
      <c r="T430" s="1008"/>
      <c r="U430" s="1008"/>
      <c r="V430" s="1008"/>
      <c r="W430" s="1008"/>
      <c r="X430" s="1008"/>
      <c r="Y430" s="1008"/>
      <c r="Z430" s="1008"/>
      <c r="AA430" s="1008"/>
      <c r="AB430" s="1008"/>
      <c r="AC430" s="1008"/>
      <c r="AD430" s="1008"/>
      <c r="AE430" s="1008"/>
      <c r="AF430" s="1008"/>
      <c r="AG430" s="1008"/>
      <c r="AH430" s="1008"/>
      <c r="AI430" s="1008"/>
      <c r="AJ430" s="1008"/>
    </row>
    <row r="431" spans="1:39" ht="12.9" customHeight="1"/>
    <row r="432" spans="1:39" ht="12.9" customHeight="1">
      <c r="A432" s="2" t="s">
        <v>1162</v>
      </c>
      <c r="B432" s="2"/>
      <c r="C432" s="2"/>
      <c r="D432" s="2" t="s">
        <v>264</v>
      </c>
    </row>
    <row r="433" spans="1:36" ht="12.9" customHeight="1">
      <c r="E433" t="s">
        <v>1362</v>
      </c>
      <c r="P433" s="1401">
        <v>2</v>
      </c>
      <c r="Q433" s="1294"/>
      <c r="S433" t="s">
        <v>1363</v>
      </c>
      <c r="AE433" s="1401">
        <v>2</v>
      </c>
      <c r="AF433" s="1294"/>
    </row>
    <row r="434" spans="1:36" ht="12.9" customHeight="1">
      <c r="E434" t="s">
        <v>1364</v>
      </c>
      <c r="P434" s="1401">
        <v>0</v>
      </c>
      <c r="Q434" s="1294"/>
      <c r="S434" t="s">
        <v>1365</v>
      </c>
      <c r="AE434" s="1401" t="s">
        <v>935</v>
      </c>
      <c r="AF434" s="1294"/>
    </row>
    <row r="435" spans="1:36" ht="12.9" customHeight="1">
      <c r="F435" s="28" t="s">
        <v>1366</v>
      </c>
    </row>
    <row r="436" spans="1:36" ht="12.9" customHeight="1">
      <c r="F436" s="1570" t="s">
        <v>935</v>
      </c>
      <c r="G436" s="1293"/>
      <c r="H436" s="1293"/>
      <c r="I436" s="1293"/>
      <c r="J436" s="1293"/>
      <c r="K436" s="1293"/>
      <c r="L436" s="1293"/>
      <c r="M436" s="1293"/>
      <c r="N436" s="1293"/>
      <c r="O436" s="1293"/>
      <c r="P436" s="1293"/>
      <c r="Q436" s="1293"/>
      <c r="R436" s="1293"/>
      <c r="S436" s="1293"/>
      <c r="T436" s="1293"/>
      <c r="U436" s="1293"/>
      <c r="V436" s="1293"/>
      <c r="W436" s="1293"/>
      <c r="X436" s="1293"/>
      <c r="Y436" s="1293"/>
      <c r="Z436" s="1293"/>
      <c r="AA436" s="1293"/>
      <c r="AB436" s="1293"/>
      <c r="AC436" s="1293"/>
      <c r="AD436" s="1293"/>
      <c r="AE436" s="1293"/>
      <c r="AF436" s="1293"/>
      <c r="AG436" s="1293"/>
      <c r="AH436" s="1293"/>
    </row>
    <row r="437" spans="1:36" ht="12.9" customHeight="1">
      <c r="F437" s="1294"/>
      <c r="G437" s="1294"/>
      <c r="H437" s="1294"/>
      <c r="I437" s="1294"/>
      <c r="J437" s="1294"/>
      <c r="K437" s="1294"/>
      <c r="L437" s="1294"/>
      <c r="M437" s="1294"/>
      <c r="N437" s="1294"/>
      <c r="O437" s="1294"/>
      <c r="P437" s="1294"/>
      <c r="Q437" s="1294"/>
      <c r="R437" s="1294"/>
      <c r="S437" s="1294"/>
      <c r="T437" s="1294"/>
      <c r="U437" s="1294"/>
      <c r="V437" s="1294"/>
      <c r="W437" s="1294"/>
      <c r="X437" s="1294"/>
      <c r="Y437" s="1294"/>
      <c r="Z437" s="1294"/>
      <c r="AA437" s="1294"/>
      <c r="AB437" s="1294"/>
      <c r="AC437" s="1294"/>
      <c r="AD437" s="1294"/>
      <c r="AE437" s="1294"/>
      <c r="AF437" s="1294"/>
      <c r="AG437" s="1294"/>
      <c r="AH437" s="1294"/>
    </row>
    <row r="438" spans="1:36" ht="12.9" customHeight="1">
      <c r="E438" t="s">
        <v>1367</v>
      </c>
      <c r="P438" s="1"/>
      <c r="Q438" s="1401" t="s">
        <v>811</v>
      </c>
      <c r="R438" s="1294"/>
    </row>
    <row r="439" spans="1:36" ht="12.9" customHeight="1">
      <c r="F439" t="s">
        <v>1368</v>
      </c>
      <c r="P439" s="1"/>
      <c r="Q439" s="1"/>
      <c r="AF439" s="1401" t="s">
        <v>969</v>
      </c>
      <c r="AG439" s="1294"/>
    </row>
    <row r="440" spans="1:36" ht="12.9" customHeight="1"/>
    <row r="441" spans="1:36" ht="12.9" customHeight="1">
      <c r="A441" s="2"/>
      <c r="B441" s="2"/>
      <c r="C441" s="2"/>
      <c r="E441" s="4" t="s">
        <v>1369</v>
      </c>
      <c r="Z441" s="1401" t="s">
        <v>811</v>
      </c>
      <c r="AA441" s="1294"/>
    </row>
    <row r="442" spans="1:36" ht="12.9" customHeight="1">
      <c r="F442" s="39" t="s">
        <v>1370</v>
      </c>
      <c r="G442" s="40"/>
      <c r="H442" s="40"/>
      <c r="I442" s="40"/>
      <c r="J442" s="40"/>
      <c r="K442" s="40"/>
      <c r="L442" s="40"/>
      <c r="M442" s="40"/>
      <c r="N442" s="40"/>
      <c r="O442" s="40"/>
      <c r="P442" s="40"/>
      <c r="Q442" s="40"/>
      <c r="R442" s="40"/>
      <c r="S442" s="40"/>
      <c r="T442" s="40"/>
      <c r="U442" s="40"/>
      <c r="V442" s="40"/>
      <c r="W442" s="40"/>
      <c r="AB442" s="40"/>
    </row>
    <row r="443" spans="1:36" ht="12.9" customHeight="1">
      <c r="F443" t="s">
        <v>1371</v>
      </c>
      <c r="G443" s="40"/>
      <c r="I443" s="40"/>
      <c r="J443" s="40"/>
      <c r="K443" s="40"/>
      <c r="L443" s="40"/>
      <c r="M443" s="40"/>
      <c r="N443" s="40"/>
      <c r="O443" s="28"/>
      <c r="P443" s="40"/>
      <c r="Q443" s="40"/>
      <c r="R443" s="40"/>
      <c r="S443" s="40"/>
      <c r="T443" s="40"/>
      <c r="U443" s="40"/>
      <c r="V443" s="40"/>
      <c r="W443" s="40"/>
      <c r="Z443" s="1401" t="s">
        <v>935</v>
      </c>
      <c r="AA443" s="1294"/>
    </row>
    <row r="444" spans="1:36" ht="12.9" customHeight="1"/>
    <row r="445" spans="1:36" ht="12.9" customHeight="1">
      <c r="A445" s="2" t="s">
        <v>1225</v>
      </c>
      <c r="B445" s="2"/>
      <c r="C445" s="2"/>
      <c r="D445" s="2" t="s">
        <v>271</v>
      </c>
      <c r="AF445" s="48"/>
    </row>
    <row r="446" spans="1:36" ht="12.9" customHeight="1">
      <c r="D446" s="1626" t="s">
        <v>1372</v>
      </c>
      <c r="E446" s="1263"/>
      <c r="F446" s="1263"/>
      <c r="G446" s="1263"/>
      <c r="H446" s="1263"/>
      <c r="I446" s="1263"/>
      <c r="J446" s="1263"/>
      <c r="K446" s="1263"/>
      <c r="L446" s="1263"/>
      <c r="M446" s="1263"/>
      <c r="N446" s="1263"/>
      <c r="O446" s="1263"/>
      <c r="P446" s="1263"/>
      <c r="Q446" s="1263"/>
      <c r="R446" s="1263"/>
      <c r="S446" s="1263"/>
      <c r="T446" s="1263"/>
      <c r="U446" s="1263"/>
      <c r="V446" s="1263"/>
      <c r="W446" s="1263"/>
      <c r="X446" s="1263"/>
      <c r="Y446" s="1263"/>
      <c r="Z446" s="1263"/>
      <c r="AA446" s="1263"/>
      <c r="AB446" s="1263"/>
      <c r="AC446" s="1263"/>
      <c r="AD446" s="1263"/>
      <c r="AE446" s="1263"/>
      <c r="AF446" s="1264"/>
      <c r="AG446" s="1392">
        <v>66</v>
      </c>
      <c r="AH446" s="1374"/>
      <c r="AI446" s="1374"/>
      <c r="AJ446" s="1375"/>
    </row>
    <row r="447" spans="1:36" ht="12.9" customHeight="1">
      <c r="D447" s="1410" t="s">
        <v>1373</v>
      </c>
      <c r="E447" s="1263"/>
      <c r="F447" s="1263"/>
      <c r="G447" s="1263"/>
      <c r="H447" s="1263"/>
      <c r="I447" s="1263"/>
      <c r="J447" s="1263"/>
      <c r="K447" s="1263"/>
      <c r="L447" s="1263"/>
      <c r="M447" s="1263"/>
      <c r="N447" s="1263"/>
      <c r="O447" s="1263"/>
      <c r="P447" s="1263"/>
      <c r="Q447" s="1263"/>
      <c r="R447" s="1263"/>
      <c r="S447" s="1263"/>
      <c r="T447" s="1263"/>
      <c r="U447" s="1263"/>
      <c r="V447" s="1263"/>
      <c r="W447" s="1263"/>
      <c r="X447" s="1263"/>
      <c r="Y447" s="1263"/>
      <c r="Z447" s="1263"/>
      <c r="AA447" s="1263"/>
      <c r="AB447" s="1263"/>
      <c r="AC447" s="1263"/>
      <c r="AD447" s="1263"/>
      <c r="AE447" s="1263"/>
      <c r="AF447" s="1264"/>
      <c r="AG447" s="1574">
        <v>0</v>
      </c>
      <c r="AH447" s="1374"/>
      <c r="AI447" s="1374"/>
      <c r="AJ447" s="1375"/>
    </row>
    <row r="448" spans="1:36" ht="12.9" customHeight="1">
      <c r="D448" s="1410" t="s">
        <v>1374</v>
      </c>
      <c r="E448" s="1263"/>
      <c r="F448" s="1263"/>
      <c r="G448" s="1263"/>
      <c r="H448" s="1263"/>
      <c r="I448" s="1263"/>
      <c r="J448" s="1263"/>
      <c r="K448" s="1263"/>
      <c r="L448" s="1263"/>
      <c r="M448" s="1263"/>
      <c r="N448" s="1263"/>
      <c r="O448" s="1263"/>
      <c r="P448" s="1263"/>
      <c r="Q448" s="1263"/>
      <c r="R448" s="1263"/>
      <c r="S448" s="1263"/>
      <c r="T448" s="1263"/>
      <c r="U448" s="1263"/>
      <c r="V448" s="1263"/>
      <c r="W448" s="1263"/>
      <c r="X448" s="1263"/>
      <c r="Y448" s="1263"/>
      <c r="Z448" s="1263"/>
      <c r="AA448" s="1263"/>
      <c r="AB448" s="1263"/>
      <c r="AC448" s="1263"/>
      <c r="AD448" s="1263"/>
      <c r="AE448" s="1263"/>
      <c r="AF448" s="1264"/>
      <c r="AG448" s="1392">
        <v>64</v>
      </c>
      <c r="AH448" s="1374"/>
      <c r="AI448" s="1374"/>
      <c r="AJ448" s="1375"/>
    </row>
    <row r="449" spans="4:55" ht="12.9" customHeight="1">
      <c r="D449" s="1410" t="s">
        <v>1375</v>
      </c>
      <c r="E449" s="1263"/>
      <c r="F449" s="1263"/>
      <c r="G449" s="1263"/>
      <c r="H449" s="1263"/>
      <c r="I449" s="1263"/>
      <c r="J449" s="1263"/>
      <c r="K449" s="1263"/>
      <c r="L449" s="1263"/>
      <c r="M449" s="1263"/>
      <c r="N449" s="1263"/>
      <c r="O449" s="1263"/>
      <c r="P449" s="1263"/>
      <c r="Q449" s="1263"/>
      <c r="R449" s="1263"/>
      <c r="S449" s="1263"/>
      <c r="T449" s="1263"/>
      <c r="U449" s="1263"/>
      <c r="V449" s="1263"/>
      <c r="W449" s="1263"/>
      <c r="X449" s="1263"/>
      <c r="Y449" s="1263"/>
      <c r="Z449" s="1263"/>
      <c r="AA449" s="1263"/>
      <c r="AB449" s="1263"/>
      <c r="AC449" s="1263"/>
      <c r="AD449" s="1263"/>
      <c r="AE449" s="1263"/>
      <c r="AF449" s="1264"/>
      <c r="AG449" s="1392">
        <v>64</v>
      </c>
      <c r="AH449" s="1374"/>
      <c r="AI449" s="1374"/>
      <c r="AJ449" s="1375"/>
    </row>
    <row r="450" spans="4:55" ht="12.9" customHeight="1">
      <c r="D450" s="1410" t="s">
        <v>1376</v>
      </c>
      <c r="E450" s="1263"/>
      <c r="F450" s="1263"/>
      <c r="G450" s="1263"/>
      <c r="H450" s="1263"/>
      <c r="I450" s="1263"/>
      <c r="J450" s="1263"/>
      <c r="K450" s="1263"/>
      <c r="L450" s="1263"/>
      <c r="M450" s="1263"/>
      <c r="N450" s="1263"/>
      <c r="O450" s="1263"/>
      <c r="P450" s="1263"/>
      <c r="Q450" s="1263"/>
      <c r="R450" s="1263"/>
      <c r="S450" s="1263"/>
      <c r="T450" s="1263"/>
      <c r="U450" s="1263"/>
      <c r="V450" s="1263"/>
      <c r="W450" s="1263"/>
      <c r="X450" s="1263"/>
      <c r="Y450" s="1263"/>
      <c r="Z450" s="1263"/>
      <c r="AA450" s="1263"/>
      <c r="AB450" s="1263"/>
      <c r="AC450" s="1263"/>
      <c r="AD450" s="1263"/>
      <c r="AE450" s="1263"/>
      <c r="AF450" s="1264"/>
      <c r="AG450" s="1503">
        <f>IF(ISERROR(AG449/AG448),0,AG449/AG448)</f>
        <v>1</v>
      </c>
      <c r="AH450" s="1263"/>
      <c r="AI450" s="1263"/>
      <c r="AJ450" s="1264"/>
    </row>
    <row r="451" spans="4:55" ht="12.9" customHeight="1">
      <c r="D451" s="1410" t="s">
        <v>1377</v>
      </c>
      <c r="E451" s="1263"/>
      <c r="F451" s="1263"/>
      <c r="G451" s="1263"/>
      <c r="H451" s="1263"/>
      <c r="I451" s="1263"/>
      <c r="J451" s="1263"/>
      <c r="K451" s="1263"/>
      <c r="L451" s="1263"/>
      <c r="M451" s="1263"/>
      <c r="N451" s="1263"/>
      <c r="O451" s="1263"/>
      <c r="P451" s="1263"/>
      <c r="Q451" s="1263"/>
      <c r="R451" s="1263"/>
      <c r="S451" s="1263"/>
      <c r="T451" s="1263"/>
      <c r="U451" s="1263"/>
      <c r="V451" s="1263"/>
      <c r="W451" s="1263"/>
      <c r="X451" s="1263"/>
      <c r="Y451" s="1263"/>
      <c r="Z451" s="1263"/>
      <c r="AA451" s="1263"/>
      <c r="AB451" s="1263"/>
      <c r="AC451" s="1263"/>
      <c r="AD451" s="1263"/>
      <c r="AE451" s="1263"/>
      <c r="AF451" s="1264"/>
      <c r="AG451" s="1480">
        <v>56907</v>
      </c>
      <c r="AH451" s="1374"/>
      <c r="AI451" s="1374"/>
      <c r="AJ451" s="1375"/>
    </row>
    <row r="452" spans="4:55" ht="12.9" customHeight="1">
      <c r="D452" s="1410" t="s">
        <v>1378</v>
      </c>
      <c r="E452" s="1263"/>
      <c r="F452" s="1263"/>
      <c r="G452" s="1263"/>
      <c r="H452" s="1263"/>
      <c r="I452" s="1263"/>
      <c r="J452" s="1263"/>
      <c r="K452" s="1263"/>
      <c r="L452" s="1263"/>
      <c r="M452" s="1263"/>
      <c r="N452" s="1263"/>
      <c r="O452" s="1263"/>
      <c r="P452" s="1263"/>
      <c r="Q452" s="1263"/>
      <c r="R452" s="1263"/>
      <c r="S452" s="1263"/>
      <c r="T452" s="1263"/>
      <c r="U452" s="1263"/>
      <c r="V452" s="1263"/>
      <c r="W452" s="1263"/>
      <c r="X452" s="1263"/>
      <c r="Y452" s="1263"/>
      <c r="Z452" s="1263"/>
      <c r="AA452" s="1263"/>
      <c r="AB452" s="1263"/>
      <c r="AC452" s="1263"/>
      <c r="AD452" s="1263"/>
      <c r="AE452" s="1263"/>
      <c r="AF452" s="1264"/>
      <c r="AG452" s="1480">
        <v>56907</v>
      </c>
      <c r="AH452" s="1374"/>
      <c r="AI452" s="1374"/>
      <c r="AJ452" s="1375"/>
    </row>
    <row r="453" spans="4:55" ht="12.9" customHeight="1">
      <c r="D453" s="1410" t="s">
        <v>1379</v>
      </c>
      <c r="E453" s="1263"/>
      <c r="F453" s="1263"/>
      <c r="G453" s="1263"/>
      <c r="H453" s="1263"/>
      <c r="I453" s="1263"/>
      <c r="J453" s="1263"/>
      <c r="K453" s="1263"/>
      <c r="L453" s="1263"/>
      <c r="M453" s="1263"/>
      <c r="N453" s="1263"/>
      <c r="O453" s="1263"/>
      <c r="P453" s="1263"/>
      <c r="Q453" s="1263"/>
      <c r="R453" s="1263"/>
      <c r="S453" s="1263"/>
      <c r="T453" s="1263"/>
      <c r="U453" s="1263"/>
      <c r="V453" s="1263"/>
      <c r="W453" s="1263"/>
      <c r="X453" s="1263"/>
      <c r="Y453" s="1263"/>
      <c r="Z453" s="1263"/>
      <c r="AA453" s="1263"/>
      <c r="AB453" s="1263"/>
      <c r="AC453" s="1263"/>
      <c r="AD453" s="1263"/>
      <c r="AE453" s="1263"/>
      <c r="AF453" s="1264"/>
      <c r="AG453" s="1503">
        <f>IF(ISERROR(AG452/AG451),0,AG452/AG451)</f>
        <v>1</v>
      </c>
      <c r="AH453" s="1263"/>
      <c r="AI453" s="1263"/>
      <c r="AJ453" s="1264"/>
    </row>
    <row r="454" spans="4:55" ht="12.9" customHeight="1">
      <c r="D454" s="1410" t="s">
        <v>1380</v>
      </c>
      <c r="E454" s="1263"/>
      <c r="F454" s="1263"/>
      <c r="G454" s="1263"/>
      <c r="H454" s="1263"/>
      <c r="I454" s="1263"/>
      <c r="J454" s="1263"/>
      <c r="K454" s="1263"/>
      <c r="L454" s="1263"/>
      <c r="M454" s="1263"/>
      <c r="N454" s="1263"/>
      <c r="O454" s="1263"/>
      <c r="P454" s="1263"/>
      <c r="Q454" s="1263"/>
      <c r="R454" s="1263"/>
      <c r="S454" s="1263"/>
      <c r="T454" s="1263"/>
      <c r="U454" s="1263"/>
      <c r="V454" s="1263"/>
      <c r="W454" s="1263"/>
      <c r="X454" s="1263"/>
      <c r="Y454" s="1263"/>
      <c r="Z454" s="1263"/>
      <c r="AA454" s="1263"/>
      <c r="AB454" s="1263"/>
      <c r="AC454" s="1263"/>
      <c r="AD454" s="1263"/>
      <c r="AE454" s="1263"/>
      <c r="AF454" s="1264"/>
      <c r="AG454" s="1503">
        <f>MIN(IF(AG450&gt;AG453,AG453,AG450),1)</f>
        <v>1</v>
      </c>
      <c r="AH454" s="1263"/>
      <c r="AI454" s="1263"/>
      <c r="AJ454" s="1264"/>
    </row>
    <row r="455" spans="4:55" ht="12.9" customHeight="1">
      <c r="D455" s="1410" t="s">
        <v>1381</v>
      </c>
      <c r="E455" s="1263"/>
      <c r="F455" s="1263"/>
      <c r="G455" s="1263"/>
      <c r="H455" s="1263"/>
      <c r="I455" s="1263"/>
      <c r="J455" s="1263"/>
      <c r="K455" s="1263"/>
      <c r="L455" s="1263"/>
      <c r="M455" s="1263"/>
      <c r="N455" s="1263"/>
      <c r="O455" s="1263"/>
      <c r="P455" s="1263"/>
      <c r="Q455" s="1263"/>
      <c r="R455" s="1263"/>
      <c r="S455" s="1263"/>
      <c r="T455" s="1263"/>
      <c r="U455" s="1263"/>
      <c r="V455" s="1263"/>
      <c r="W455" s="1263"/>
      <c r="X455" s="1263"/>
      <c r="Y455" s="1263"/>
      <c r="Z455" s="1263"/>
      <c r="AA455" s="1263"/>
      <c r="AB455" s="1263"/>
      <c r="AC455" s="1263"/>
      <c r="AD455" s="1263"/>
      <c r="AE455" s="1263"/>
      <c r="AF455" s="1264"/>
      <c r="AG455" s="1480">
        <v>9120</v>
      </c>
      <c r="AH455" s="1374"/>
      <c r="AI455" s="1374"/>
      <c r="AJ455" s="1375"/>
      <c r="AZ455" s="34"/>
      <c r="BA455" s="34"/>
      <c r="BB455" s="34"/>
      <c r="BC455" s="34"/>
    </row>
    <row r="456" spans="4:55" ht="12.9" customHeight="1">
      <c r="D456" s="1626" t="s">
        <v>1382</v>
      </c>
      <c r="E456" s="1263"/>
      <c r="F456" s="1263"/>
      <c r="G456" s="1263"/>
      <c r="H456" s="1263"/>
      <c r="I456" s="1263"/>
      <c r="J456" s="1263"/>
      <c r="K456" s="1263"/>
      <c r="L456" s="1263"/>
      <c r="M456" s="1263"/>
      <c r="N456" s="1263"/>
      <c r="O456" s="1263"/>
      <c r="P456" s="1263"/>
      <c r="Q456" s="1263"/>
      <c r="R456" s="1263"/>
      <c r="S456" s="1263"/>
      <c r="T456" s="1263"/>
      <c r="U456" s="1263"/>
      <c r="V456" s="1263"/>
      <c r="W456" s="1263"/>
      <c r="X456" s="1263"/>
      <c r="Y456" s="1263"/>
      <c r="Z456" s="1263"/>
      <c r="AA456" s="1263"/>
      <c r="AB456" s="1263"/>
      <c r="AC456" s="1263"/>
      <c r="AD456" s="1263"/>
      <c r="AE456" s="1263"/>
      <c r="AF456" s="1264"/>
      <c r="AG456" s="1480">
        <v>0</v>
      </c>
      <c r="AH456" s="1374"/>
      <c r="AI456" s="1374"/>
      <c r="AJ456" s="1375"/>
      <c r="AZ456" s="3"/>
      <c r="BA456" s="3"/>
      <c r="BB456" s="3"/>
      <c r="BC456" s="3"/>
    </row>
    <row r="457" spans="4:55" ht="12.9" customHeight="1">
      <c r="D457" s="1410" t="s">
        <v>1383</v>
      </c>
      <c r="E457" s="1263"/>
      <c r="F457" s="1263"/>
      <c r="G457" s="1263"/>
      <c r="H457" s="1263"/>
      <c r="I457" s="1263"/>
      <c r="J457" s="1263"/>
      <c r="K457" s="1263"/>
      <c r="L457" s="1263"/>
      <c r="M457" s="1263"/>
      <c r="N457" s="1263"/>
      <c r="O457" s="1263"/>
      <c r="P457" s="1263"/>
      <c r="Q457" s="1263"/>
      <c r="R457" s="1263"/>
      <c r="S457" s="1263"/>
      <c r="T457" s="1263"/>
      <c r="U457" s="1263"/>
      <c r="V457" s="1263"/>
      <c r="W457" s="1263"/>
      <c r="X457" s="1263"/>
      <c r="Y457" s="1263"/>
      <c r="Z457" s="1263"/>
      <c r="AA457" s="1263"/>
      <c r="AB457" s="1263"/>
      <c r="AC457" s="1263"/>
      <c r="AD457" s="1263"/>
      <c r="AE457" s="1263"/>
      <c r="AF457" s="1264"/>
      <c r="AG457" s="1480">
        <v>10604</v>
      </c>
      <c r="AH457" s="1374"/>
      <c r="AI457" s="1374"/>
      <c r="AJ457" s="1375"/>
      <c r="AZ457" s="3"/>
      <c r="BA457" s="3"/>
      <c r="BB457" s="3"/>
      <c r="BC457" s="3"/>
    </row>
    <row r="458" spans="4:55" ht="12.9" customHeight="1">
      <c r="D458" s="1410" t="s">
        <v>1384</v>
      </c>
      <c r="E458" s="1263"/>
      <c r="F458" s="1263"/>
      <c r="G458" s="1263"/>
      <c r="H458" s="1263"/>
      <c r="I458" s="1263"/>
      <c r="J458" s="1263"/>
      <c r="K458" s="1263"/>
      <c r="L458" s="1263"/>
      <c r="M458" s="1263"/>
      <c r="N458" s="1263"/>
      <c r="O458" s="1263"/>
      <c r="P458" s="1263"/>
      <c r="Q458" s="1263"/>
      <c r="R458" s="1263"/>
      <c r="S458" s="1263"/>
      <c r="T458" s="1263"/>
      <c r="U458" s="1263"/>
      <c r="V458" s="1263"/>
      <c r="W458" s="1263"/>
      <c r="X458" s="1263"/>
      <c r="Y458" s="1263"/>
      <c r="Z458" s="1263"/>
      <c r="AA458" s="1263"/>
      <c r="AB458" s="1263"/>
      <c r="AC458" s="1263"/>
      <c r="AD458" s="1263"/>
      <c r="AE458" s="1263"/>
      <c r="AF458" s="1264"/>
      <c r="AG458" s="1480">
        <v>0</v>
      </c>
      <c r="AH458" s="1374"/>
      <c r="AI458" s="1374"/>
      <c r="AJ458" s="1375"/>
      <c r="BB458" s="3"/>
      <c r="BC458" s="3"/>
    </row>
    <row r="459" spans="4:55" ht="12.9" customHeight="1">
      <c r="D459" s="1631" t="s">
        <v>1385</v>
      </c>
      <c r="E459" s="1263"/>
      <c r="F459" s="1263"/>
      <c r="G459" s="1263"/>
      <c r="H459" s="1263"/>
      <c r="I459" s="1263"/>
      <c r="J459" s="1263"/>
      <c r="K459" s="1263"/>
      <c r="L459" s="1263"/>
      <c r="M459" s="1263"/>
      <c r="N459" s="1263"/>
      <c r="O459" s="1263"/>
      <c r="P459" s="1263"/>
      <c r="Q459" s="1263"/>
      <c r="R459" s="1263"/>
      <c r="S459" s="1263"/>
      <c r="T459" s="1263"/>
      <c r="U459" s="1263"/>
      <c r="V459" s="1263"/>
      <c r="W459" s="1263"/>
      <c r="X459" s="1263"/>
      <c r="Y459" s="1263"/>
      <c r="Z459" s="1263"/>
      <c r="AA459" s="1263"/>
      <c r="AB459" s="1263"/>
      <c r="AC459" s="1263"/>
      <c r="AD459" s="1263"/>
      <c r="AE459" s="1263"/>
      <c r="AF459" s="1264"/>
      <c r="AG459" s="1649">
        <f>AG451+AG455+AG457+AG458</f>
        <v>76631</v>
      </c>
      <c r="AH459" s="1263"/>
      <c r="AI459" s="1263"/>
      <c r="AJ459" s="1264"/>
      <c r="AZ459" s="3"/>
      <c r="BA459" s="3"/>
      <c r="BB459" s="3"/>
      <c r="BC459" s="3"/>
    </row>
    <row r="460" spans="4:55" ht="12.9" customHeight="1">
      <c r="D460" s="1416" t="s">
        <v>1386</v>
      </c>
      <c r="E460" s="1417"/>
      <c r="F460" s="1417"/>
      <c r="G460" s="1417"/>
      <c r="H460" s="1417"/>
      <c r="I460" s="1417"/>
      <c r="J460" s="1417"/>
      <c r="K460" s="1417"/>
      <c r="L460" s="1417"/>
      <c r="M460" s="1417"/>
      <c r="N460" s="1417"/>
      <c r="O460" s="1417"/>
      <c r="P460" s="1417"/>
      <c r="Q460" s="1417"/>
      <c r="R460" s="1417"/>
      <c r="S460" s="1417"/>
      <c r="T460" s="1417"/>
      <c r="U460" s="1417"/>
      <c r="V460" s="1417"/>
      <c r="W460" s="1417"/>
      <c r="X460" s="1417"/>
      <c r="Y460" s="1417"/>
      <c r="Z460" s="1417"/>
      <c r="AA460" s="1417"/>
      <c r="AB460" s="1417"/>
      <c r="AC460" s="1417"/>
      <c r="AD460" s="1417"/>
      <c r="AE460" s="1417"/>
      <c r="AF460" s="1417"/>
      <c r="AG460" s="1417"/>
      <c r="AH460" s="1417"/>
      <c r="AI460" s="1417"/>
      <c r="AJ460" s="1417"/>
      <c r="AZ460" s="3"/>
      <c r="BA460" s="3"/>
      <c r="BB460" s="3"/>
      <c r="BC460" s="3"/>
    </row>
    <row r="461" spans="4:55" ht="12.9" customHeight="1">
      <c r="D461" s="1298"/>
      <c r="E461" s="1298"/>
      <c r="F461" s="1298"/>
      <c r="G461" s="1298"/>
      <c r="H461" s="1298"/>
      <c r="I461" s="1298"/>
      <c r="J461" s="1298"/>
      <c r="K461" s="1298"/>
      <c r="L461" s="1298"/>
      <c r="M461" s="1298"/>
      <c r="N461" s="1298"/>
      <c r="O461" s="1298"/>
      <c r="P461" s="1298"/>
      <c r="Q461" s="1298"/>
      <c r="R461" s="1298"/>
      <c r="S461" s="1298"/>
      <c r="T461" s="1298"/>
      <c r="U461" s="1298"/>
      <c r="V461" s="1298"/>
      <c r="W461" s="1298"/>
      <c r="X461" s="1298"/>
      <c r="Y461" s="1298"/>
      <c r="Z461" s="1298"/>
      <c r="AA461" s="1298"/>
      <c r="AB461" s="1298"/>
      <c r="AC461" s="1298"/>
      <c r="AD461" s="1298"/>
      <c r="AE461" s="1298"/>
      <c r="AF461" s="1298"/>
      <c r="AG461" s="1298"/>
      <c r="AH461" s="1298"/>
      <c r="AI461" s="1298"/>
      <c r="AJ461" s="1298"/>
      <c r="AZ461" s="3"/>
      <c r="BA461" s="3"/>
      <c r="BB461" s="3"/>
      <c r="BC461" s="3"/>
    </row>
    <row r="462" spans="4:55" ht="12.9"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 customHeight="1">
      <c r="D463" s="205" t="s">
        <v>1387</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424">
        <f>IF(AG446=0,"",'Sources and Uses Budget'!B105/Application!AG446)</f>
        <v>469320.93939393939</v>
      </c>
      <c r="AD463" s="1263"/>
      <c r="AE463" s="1263"/>
      <c r="AF463" s="1264"/>
      <c r="AG463" s="177"/>
      <c r="AH463" s="177"/>
      <c r="AI463" s="177"/>
      <c r="AJ463" s="183"/>
      <c r="AZ463" s="3"/>
      <c r="BA463" s="3" t="str">
        <f>AG583</f>
        <v>Yes</v>
      </c>
      <c r="BB463" s="3"/>
      <c r="BC463" s="3"/>
    </row>
    <row r="464" spans="4:55" ht="12.9" customHeight="1">
      <c r="D464" s="205" t="s">
        <v>1388</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424">
        <f>IF(AG446=0,"",'Sources and Uses Budget'!C105/Application!AG446)</f>
        <v>469320.93939393939</v>
      </c>
      <c r="AD464" s="1263"/>
      <c r="AE464" s="1263"/>
      <c r="AF464" s="1264"/>
      <c r="AG464" s="177"/>
      <c r="AH464" s="177"/>
      <c r="AI464" s="177"/>
      <c r="AJ464" s="183"/>
      <c r="AZ464" s="3"/>
      <c r="BA464" s="3"/>
      <c r="BB464" s="3"/>
      <c r="BC464" s="3"/>
    </row>
    <row r="465" spans="1:55" ht="12.9" customHeight="1">
      <c r="D465" s="205" t="s">
        <v>1389</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424">
        <f>IF(AG446=0,"",('Sources and Uses Budget'!$S$107+'Sources and Uses Budget'!$T$107)/Application!AG446)</f>
        <v>414428.03030303027</v>
      </c>
      <c r="AD465" s="1263"/>
      <c r="AE465" s="1263"/>
      <c r="AF465" s="1264"/>
      <c r="AG465" s="177"/>
      <c r="AH465" s="177"/>
      <c r="AI465" s="177"/>
      <c r="AJ465" s="183"/>
      <c r="AZ465" s="3"/>
      <c r="BA465" s="3"/>
      <c r="BB465" s="3"/>
      <c r="BC465" s="3"/>
    </row>
    <row r="466" spans="1:55" ht="12.9" customHeight="1">
      <c r="D466" s="177"/>
      <c r="E466" s="177"/>
      <c r="F466" s="1188"/>
      <c r="G466" s="1188"/>
      <c r="H466" s="1188"/>
      <c r="I466" s="1188"/>
      <c r="J466" s="1188"/>
      <c r="K466" s="1188"/>
      <c r="L466" s="1188"/>
      <c r="M466" s="1188"/>
      <c r="N466" s="1188"/>
      <c r="O466" s="1188"/>
      <c r="P466" s="1188"/>
      <c r="Q466" s="1188"/>
      <c r="R466" s="1188"/>
      <c r="S466" s="1188"/>
      <c r="T466" s="1188"/>
      <c r="U466" s="1188"/>
      <c r="V466" s="1188"/>
      <c r="W466" s="1188"/>
      <c r="X466" s="1188"/>
      <c r="Y466" s="1188"/>
      <c r="Z466" s="1188"/>
      <c r="AA466" s="1188"/>
      <c r="AB466" s="1188"/>
      <c r="AC466" s="515"/>
      <c r="AD466" s="177"/>
      <c r="AE466" s="177"/>
      <c r="AF466" s="177"/>
      <c r="AG466" s="177"/>
      <c r="AH466" s="177"/>
      <c r="AI466" s="177"/>
      <c r="AJ466" s="183"/>
      <c r="AZ466" s="3"/>
      <c r="BA466" s="3"/>
      <c r="BB466" s="3"/>
      <c r="BC466" s="3"/>
    </row>
    <row r="467" spans="1:55" ht="12.9" customHeight="1">
      <c r="A467" s="2" t="s">
        <v>1390</v>
      </c>
      <c r="D467" s="2" t="s">
        <v>274</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 customHeight="1">
      <c r="D468" s="184" t="s">
        <v>1391</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 customHeight="1">
      <c r="D469" s="184" t="s">
        <v>1392</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 customHeight="1">
      <c r="D470" s="184" t="s">
        <v>1393</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 customHeight="1">
      <c r="A472" s="3"/>
      <c r="B472" s="3"/>
      <c r="C472" s="3"/>
      <c r="D472" s="185" t="s">
        <v>1394</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622" t="s">
        <v>1395</v>
      </c>
      <c r="E473" s="1263"/>
      <c r="F473" s="1263"/>
      <c r="G473" s="1263"/>
      <c r="H473" s="1263"/>
      <c r="I473" s="1263"/>
      <c r="J473" s="1263"/>
      <c r="K473" s="1263"/>
      <c r="L473" s="1263"/>
      <c r="M473" s="1263"/>
      <c r="N473" s="1263"/>
      <c r="O473" s="1263"/>
      <c r="P473" s="1263"/>
      <c r="Q473" s="1263"/>
      <c r="R473" s="1263"/>
      <c r="S473" s="1263"/>
      <c r="T473" s="1263"/>
      <c r="U473" s="1263"/>
      <c r="V473" s="1264"/>
      <c r="W473" s="1502">
        <v>0</v>
      </c>
      <c r="X473" s="1374"/>
      <c r="Y473" s="1375"/>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1418" t="s">
        <v>1396</v>
      </c>
      <c r="E474" s="1263"/>
      <c r="F474" s="1263"/>
      <c r="G474" s="1263"/>
      <c r="H474" s="1263"/>
      <c r="I474" s="1263"/>
      <c r="J474" s="1263"/>
      <c r="K474" s="1263"/>
      <c r="L474" s="1263"/>
      <c r="M474" s="1263"/>
      <c r="N474" s="1263"/>
      <c r="O474" s="1263"/>
      <c r="P474" s="1263"/>
      <c r="Q474" s="1263"/>
      <c r="R474" s="1263"/>
      <c r="S474" s="1263"/>
      <c r="T474" s="1263"/>
      <c r="U474" s="1263"/>
      <c r="V474" s="1264"/>
      <c r="W474" s="1502">
        <v>0</v>
      </c>
      <c r="X474" s="1374"/>
      <c r="Y474" s="1375"/>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1418" t="s">
        <v>1397</v>
      </c>
      <c r="E475" s="1263"/>
      <c r="F475" s="1263"/>
      <c r="G475" s="1263"/>
      <c r="H475" s="1263"/>
      <c r="I475" s="1263"/>
      <c r="J475" s="1263"/>
      <c r="K475" s="1263"/>
      <c r="L475" s="1263"/>
      <c r="M475" s="1263"/>
      <c r="N475" s="1263"/>
      <c r="O475" s="1263"/>
      <c r="P475" s="1263"/>
      <c r="Q475" s="1263"/>
      <c r="R475" s="1263"/>
      <c r="S475" s="1263"/>
      <c r="T475" s="1263"/>
      <c r="U475" s="1263"/>
      <c r="V475" s="1264"/>
      <c r="W475" s="1502">
        <v>0</v>
      </c>
      <c r="X475" s="1374"/>
      <c r="Y475" s="1375"/>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1418" t="s">
        <v>1398</v>
      </c>
      <c r="E476" s="1263"/>
      <c r="F476" s="1263"/>
      <c r="G476" s="1263"/>
      <c r="H476" s="1263"/>
      <c r="I476" s="1263"/>
      <c r="J476" s="1263"/>
      <c r="K476" s="1263"/>
      <c r="L476" s="1263"/>
      <c r="M476" s="1263"/>
      <c r="N476" s="1263"/>
      <c r="O476" s="1263"/>
      <c r="P476" s="1263"/>
      <c r="Q476" s="1263"/>
      <c r="R476" s="1263"/>
      <c r="S476" s="1263"/>
      <c r="T476" s="1263"/>
      <c r="U476" s="1263"/>
      <c r="V476" s="1264"/>
      <c r="W476" s="1502">
        <v>0</v>
      </c>
      <c r="X476" s="1374"/>
      <c r="Y476" s="1375"/>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1418" t="s">
        <v>1399</v>
      </c>
      <c r="E477" s="1263"/>
      <c r="F477" s="1263"/>
      <c r="G477" s="1263"/>
      <c r="H477" s="1263"/>
      <c r="I477" s="1263"/>
      <c r="J477" s="1263"/>
      <c r="K477" s="1263"/>
      <c r="L477" s="1263"/>
      <c r="M477" s="1263"/>
      <c r="N477" s="1263"/>
      <c r="O477" s="1263"/>
      <c r="P477" s="1263"/>
      <c r="Q477" s="1263"/>
      <c r="R477" s="1263"/>
      <c r="S477" s="1263"/>
      <c r="T477" s="1263"/>
      <c r="U477" s="1263"/>
      <c r="V477" s="1264"/>
      <c r="W477" s="1502">
        <v>0</v>
      </c>
      <c r="X477" s="1374"/>
      <c r="Y477" s="1375"/>
      <c r="Z477" s="184"/>
      <c r="AA477" s="184"/>
      <c r="AB477" s="184"/>
      <c r="AC477" s="184"/>
      <c r="AD477" s="177"/>
      <c r="AE477" s="177"/>
      <c r="AF477" s="177"/>
      <c r="AG477" s="177"/>
      <c r="AH477" s="177"/>
      <c r="AI477" s="177"/>
      <c r="AJ477" s="183"/>
      <c r="AZ477" s="3"/>
      <c r="BA477" s="3" t="str">
        <f>N599</f>
        <v>Yes</v>
      </c>
      <c r="BB477" s="3"/>
      <c r="BC477" s="3"/>
    </row>
    <row r="478" spans="1:55" ht="12.9" customHeight="1">
      <c r="A478" s="3"/>
      <c r="B478" s="3"/>
      <c r="C478" s="3"/>
      <c r="D478" s="1418" t="s">
        <v>1400</v>
      </c>
      <c r="E478" s="1263"/>
      <c r="F478" s="1263"/>
      <c r="G478" s="1263"/>
      <c r="H478" s="1263"/>
      <c r="I478" s="1263"/>
      <c r="J478" s="1263"/>
      <c r="K478" s="1263"/>
      <c r="L478" s="1263"/>
      <c r="M478" s="1263"/>
      <c r="N478" s="1263"/>
      <c r="O478" s="1263"/>
      <c r="P478" s="1263"/>
      <c r="Q478" s="1263"/>
      <c r="R478" s="1263"/>
      <c r="S478" s="1263"/>
      <c r="T478" s="1263"/>
      <c r="U478" s="1263"/>
      <c r="V478" s="1264"/>
      <c r="W478" s="1502">
        <v>0</v>
      </c>
      <c r="X478" s="1374"/>
      <c r="Y478" s="1375"/>
      <c r="Z478" s="184"/>
      <c r="AA478" s="184"/>
      <c r="AB478" s="184"/>
      <c r="AC478" s="184"/>
      <c r="AD478" s="177"/>
      <c r="AE478" s="177"/>
      <c r="AF478" s="177"/>
      <c r="AG478" s="177"/>
      <c r="AH478" s="177"/>
      <c r="AI478" s="177"/>
      <c r="AJ478" s="183"/>
      <c r="AZ478" s="3"/>
      <c r="BA478" s="3" t="str">
        <f>AG599</f>
        <v>Yes</v>
      </c>
      <c r="BB478" s="3"/>
      <c r="BC478" s="3"/>
    </row>
    <row r="479" spans="1:55" ht="12.9" customHeight="1">
      <c r="A479" s="3"/>
      <c r="B479" s="3"/>
      <c r="C479" s="3"/>
      <c r="D479" s="1418" t="s">
        <v>1401</v>
      </c>
      <c r="E479" s="1263"/>
      <c r="F479" s="1263"/>
      <c r="G479" s="1263"/>
      <c r="H479" s="1263"/>
      <c r="I479" s="1263"/>
      <c r="J479" s="1263"/>
      <c r="K479" s="1263"/>
      <c r="L479" s="1263"/>
      <c r="M479" s="1263"/>
      <c r="N479" s="1263"/>
      <c r="O479" s="1263"/>
      <c r="P479" s="1263"/>
      <c r="Q479" s="1263"/>
      <c r="R479" s="1263"/>
      <c r="S479" s="1263"/>
      <c r="T479" s="1263"/>
      <c r="U479" s="1263"/>
      <c r="V479" s="1264"/>
      <c r="W479" s="1502">
        <v>0</v>
      </c>
      <c r="X479" s="1374"/>
      <c r="Y479" s="1375"/>
      <c r="Z479" s="184"/>
      <c r="AA479" s="184"/>
      <c r="AB479" s="184"/>
      <c r="AC479" s="184"/>
      <c r="AD479" s="177"/>
      <c r="AE479" s="177"/>
      <c r="AF479" s="177"/>
      <c r="AG479" s="177"/>
      <c r="AH479" s="177"/>
      <c r="AI479" s="177"/>
      <c r="AJ479" s="183"/>
      <c r="AZ479" s="3"/>
      <c r="BA479" s="3"/>
      <c r="BB479" s="3"/>
      <c r="BC479" s="3"/>
    </row>
    <row r="480" spans="1:55" ht="12.9" customHeight="1">
      <c r="A480" s="3"/>
      <c r="B480" s="3"/>
      <c r="C480" s="3"/>
      <c r="D480" s="1622" t="s">
        <v>1402</v>
      </c>
      <c r="E480" s="1263"/>
      <c r="F480" s="1263"/>
      <c r="G480" s="1263"/>
      <c r="H480" s="1263"/>
      <c r="I480" s="1263"/>
      <c r="J480" s="1263"/>
      <c r="K480" s="1263"/>
      <c r="L480" s="1263"/>
      <c r="M480" s="1263"/>
      <c r="N480" s="1263"/>
      <c r="O480" s="1263"/>
      <c r="P480" s="1263"/>
      <c r="Q480" s="1263"/>
      <c r="R480" s="1263"/>
      <c r="S480" s="1263"/>
      <c r="T480" s="1263"/>
      <c r="U480" s="1263"/>
      <c r="V480" s="1264"/>
      <c r="W480" s="1502">
        <v>0</v>
      </c>
      <c r="X480" s="1374"/>
      <c r="Y480" s="1375"/>
      <c r="Z480" s="184"/>
      <c r="AA480" s="184"/>
      <c r="AB480" s="184"/>
      <c r="AC480" s="184"/>
      <c r="AD480" s="177"/>
      <c r="AE480" s="177"/>
      <c r="AF480" s="177"/>
      <c r="AG480" s="177"/>
      <c r="AH480" s="177"/>
      <c r="AI480" s="177"/>
      <c r="AJ480" s="183"/>
      <c r="AZ480" s="3"/>
      <c r="BA480" s="3"/>
      <c r="BB480" s="3"/>
      <c r="BC480" s="3"/>
    </row>
    <row r="481" spans="1:55" ht="12.9" customHeight="1">
      <c r="A481" s="3"/>
      <c r="B481" s="3"/>
      <c r="C481" s="3"/>
      <c r="D481" s="1622" t="s">
        <v>1403</v>
      </c>
      <c r="E481" s="1263"/>
      <c r="F481" s="1263"/>
      <c r="G481" s="1263"/>
      <c r="H481" s="1263"/>
      <c r="I481" s="1263"/>
      <c r="J481" s="1263"/>
      <c r="K481" s="1263"/>
      <c r="L481" s="1263"/>
      <c r="M481" s="1263"/>
      <c r="N481" s="1263"/>
      <c r="O481" s="1263"/>
      <c r="P481" s="1263"/>
      <c r="Q481" s="1263"/>
      <c r="R481" s="1263"/>
      <c r="S481" s="1263"/>
      <c r="T481" s="1263"/>
      <c r="U481" s="1263"/>
      <c r="V481" s="1264"/>
      <c r="W481" s="1502">
        <v>0</v>
      </c>
      <c r="X481" s="1374"/>
      <c r="Y481" s="1375"/>
      <c r="Z481" s="184"/>
      <c r="AA481" s="184"/>
      <c r="AB481" s="184"/>
      <c r="AC481" s="184"/>
      <c r="AD481" s="177"/>
      <c r="AE481" s="177"/>
      <c r="AF481" s="177"/>
      <c r="AG481" s="177"/>
      <c r="AH481" s="177"/>
      <c r="AI481" s="177"/>
      <c r="AJ481" s="183"/>
      <c r="AZ481" s="3"/>
      <c r="BA481" s="3"/>
      <c r="BB481" s="3"/>
      <c r="BC481" s="3"/>
    </row>
    <row r="482" spans="1:55" ht="12.9" customHeight="1">
      <c r="A482" s="3"/>
      <c r="B482" s="3"/>
      <c r="C482" s="3"/>
      <c r="D482" s="243" t="s">
        <v>345</v>
      </c>
      <c r="E482" s="244"/>
      <c r="F482" s="245"/>
      <c r="G482" s="1505"/>
      <c r="H482" s="1374"/>
      <c r="I482" s="1374"/>
      <c r="J482" s="1374"/>
      <c r="K482" s="1374"/>
      <c r="L482" s="1374"/>
      <c r="M482" s="1374"/>
      <c r="N482" s="1374"/>
      <c r="O482" s="1374"/>
      <c r="P482" s="1374"/>
      <c r="Q482" s="1374"/>
      <c r="R482" s="1374"/>
      <c r="S482" s="1374"/>
      <c r="T482" s="1374"/>
      <c r="U482" s="1374"/>
      <c r="V482" s="1375"/>
      <c r="W482" s="1502">
        <v>0</v>
      </c>
      <c r="X482" s="1374"/>
      <c r="Y482" s="1375"/>
      <c r="Z482" s="184"/>
      <c r="AA482" s="184"/>
      <c r="AB482" s="184"/>
      <c r="AC482" s="184"/>
      <c r="AD482" s="177"/>
      <c r="AE482" s="177"/>
      <c r="AF482" s="177"/>
      <c r="AG482" s="177"/>
      <c r="AH482" s="177"/>
      <c r="AI482" s="177"/>
      <c r="AJ482" s="183"/>
      <c r="AZ482" s="3"/>
      <c r="BA482" s="3"/>
      <c r="BB482" s="3"/>
      <c r="BC482" s="3"/>
    </row>
    <row r="483" spans="1:55" ht="12.9" customHeight="1">
      <c r="A483" s="3"/>
      <c r="B483" s="3"/>
      <c r="C483" s="3"/>
      <c r="D483" s="246" t="s">
        <v>1404</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 customHeight="1">
      <c r="AU487" s="95"/>
      <c r="AV487" s="95"/>
      <c r="AW487" s="95"/>
      <c r="AX487" s="95"/>
      <c r="AY487" s="95"/>
      <c r="AZ487" s="3"/>
      <c r="BA487" s="3" t="str">
        <f>AG607</f>
        <v>No</v>
      </c>
      <c r="BB487" s="3"/>
      <c r="BC487" s="3"/>
    </row>
    <row r="488" spans="1:55" ht="12.9" customHeight="1">
      <c r="A488" s="1462" t="s">
        <v>1405</v>
      </c>
      <c r="B488" s="1298"/>
      <c r="C488" s="1298"/>
      <c r="D488" s="1298"/>
      <c r="E488" s="1298"/>
      <c r="F488" s="1298"/>
      <c r="G488" s="1298"/>
      <c r="H488" s="1298"/>
      <c r="I488" s="1298"/>
      <c r="J488" s="1298"/>
      <c r="K488" s="1298"/>
      <c r="L488" s="1298"/>
      <c r="M488" s="1298"/>
      <c r="N488" s="1298"/>
      <c r="O488" s="1298"/>
      <c r="P488" s="1298"/>
      <c r="Q488" s="1298"/>
      <c r="R488" s="1298"/>
      <c r="S488" s="1298"/>
      <c r="T488" s="1298"/>
      <c r="U488" s="1298"/>
      <c r="V488" s="1298"/>
      <c r="W488" s="1298"/>
      <c r="X488" s="1298"/>
      <c r="Y488" s="1298"/>
      <c r="Z488" s="1298"/>
      <c r="AA488" s="1298"/>
      <c r="AB488" s="1298"/>
      <c r="AC488" s="1298"/>
      <c r="AD488" s="1298"/>
      <c r="AE488" s="1298"/>
      <c r="AF488" s="1298"/>
      <c r="AG488" s="1298"/>
      <c r="AH488" s="1298"/>
      <c r="AI488" s="1298"/>
      <c r="AJ488" s="1298"/>
      <c r="AK488" s="1298"/>
      <c r="AL488" s="1298"/>
      <c r="AM488" s="1298"/>
      <c r="AN488" s="1298"/>
      <c r="AO488" s="1298"/>
      <c r="AP488" s="1298"/>
      <c r="AQ488" s="1298"/>
      <c r="AR488" s="1298"/>
      <c r="AS488" s="1298"/>
      <c r="AT488" s="1298"/>
      <c r="AU488" s="95"/>
      <c r="AV488" s="95"/>
      <c r="AW488" s="95"/>
      <c r="AX488" s="95"/>
      <c r="AY488" s="95"/>
      <c r="AZ488" s="3"/>
      <c r="BB488" s="3"/>
      <c r="BC488" s="3"/>
    </row>
    <row r="489" spans="1:55" ht="12.9" customHeight="1">
      <c r="A489" s="1298"/>
      <c r="B489" s="1298"/>
      <c r="C489" s="1298"/>
      <c r="D489" s="1298"/>
      <c r="E489" s="1298"/>
      <c r="F489" s="1298"/>
      <c r="G489" s="1298"/>
      <c r="H489" s="1298"/>
      <c r="I489" s="1298"/>
      <c r="J489" s="1298"/>
      <c r="K489" s="1298"/>
      <c r="L489" s="1298"/>
      <c r="M489" s="1298"/>
      <c r="N489" s="1298"/>
      <c r="O489" s="1298"/>
      <c r="P489" s="1298"/>
      <c r="Q489" s="1298"/>
      <c r="R489" s="1298"/>
      <c r="S489" s="1298"/>
      <c r="T489" s="1298"/>
      <c r="U489" s="1298"/>
      <c r="V489" s="1298"/>
      <c r="W489" s="1298"/>
      <c r="X489" s="1298"/>
      <c r="Y489" s="1298"/>
      <c r="Z489" s="1298"/>
      <c r="AA489" s="1298"/>
      <c r="AB489" s="1298"/>
      <c r="AC489" s="1298"/>
      <c r="AD489" s="1298"/>
      <c r="AE489" s="1298"/>
      <c r="AF489" s="1298"/>
      <c r="AG489" s="1298"/>
      <c r="AH489" s="1298"/>
      <c r="AI489" s="1298"/>
      <c r="AJ489" s="1298"/>
      <c r="AK489" s="1298"/>
      <c r="AL489" s="1298"/>
      <c r="AM489" s="1298"/>
      <c r="AN489" s="1298"/>
      <c r="AO489" s="1298"/>
      <c r="AP489" s="1298"/>
      <c r="AQ489" s="1298"/>
      <c r="AR489" s="1298"/>
      <c r="AS489" s="1298"/>
      <c r="AT489" s="1298"/>
      <c r="AZ489" s="3"/>
      <c r="BB489" s="3"/>
      <c r="BC489" s="3"/>
    </row>
    <row r="490" spans="1:55" ht="12.9" customHeight="1">
      <c r="AZ490" s="3"/>
      <c r="BB490" s="3"/>
      <c r="BC490" s="3"/>
    </row>
    <row r="491" spans="1:55" ht="12.9" customHeight="1">
      <c r="A491" s="2" t="s">
        <v>994</v>
      </c>
      <c r="C491" s="2" t="s">
        <v>277</v>
      </c>
      <c r="AZ491" s="3"/>
      <c r="BB491" s="3"/>
      <c r="BC491" s="3"/>
    </row>
    <row r="492" spans="1:55" ht="12.9" customHeight="1">
      <c r="AZ492" s="3"/>
      <c r="BB492" s="3"/>
      <c r="BC492" s="3"/>
    </row>
    <row r="493" spans="1:55" ht="12.9" customHeight="1">
      <c r="B493" s="45"/>
      <c r="C493" s="5"/>
      <c r="D493" s="5"/>
      <c r="E493" s="5"/>
      <c r="F493" s="5"/>
      <c r="G493" s="5"/>
      <c r="H493" s="5"/>
      <c r="I493" s="5"/>
      <c r="J493" s="5"/>
      <c r="K493" s="5"/>
      <c r="L493" s="5"/>
      <c r="M493" s="5"/>
      <c r="N493" s="5"/>
      <c r="O493" s="5"/>
      <c r="P493" s="46"/>
      <c r="Q493" s="1455" t="s">
        <v>1406</v>
      </c>
      <c r="R493" s="1263"/>
      <c r="S493" s="1263"/>
      <c r="T493" s="1263"/>
      <c r="U493" s="1263"/>
      <c r="V493" s="1263"/>
      <c r="W493" s="1263"/>
      <c r="X493" s="1263"/>
      <c r="Y493" s="1263"/>
      <c r="Z493" s="1263"/>
      <c r="AA493" s="1263"/>
      <c r="AB493" s="1263"/>
      <c r="AC493" s="1263"/>
      <c r="AD493" s="1263"/>
      <c r="AE493" s="1263"/>
      <c r="AF493" s="1263"/>
      <c r="AG493" s="1263"/>
      <c r="AH493" s="1263"/>
      <c r="AI493" s="1263"/>
      <c r="AJ493" s="1263"/>
      <c r="AK493" s="1264"/>
      <c r="AZ493" s="3"/>
      <c r="BB493" s="3"/>
      <c r="BC493" s="3"/>
    </row>
    <row r="494" spans="1:55" ht="12.9" customHeight="1">
      <c r="B494" s="45" t="s">
        <v>1407</v>
      </c>
      <c r="C494" s="5"/>
      <c r="D494" s="5"/>
      <c r="E494" s="5"/>
      <c r="F494" s="5"/>
      <c r="G494" s="5"/>
      <c r="H494" s="5"/>
      <c r="I494" s="5"/>
      <c r="J494" s="5"/>
      <c r="K494" s="5"/>
      <c r="L494" s="5"/>
      <c r="M494" s="5"/>
      <c r="N494" s="5"/>
      <c r="O494" s="5"/>
      <c r="P494" s="5"/>
      <c r="Q494" s="1601" t="s">
        <v>2786</v>
      </c>
      <c r="R494" s="1602"/>
      <c r="S494" s="1602"/>
      <c r="T494" s="1602"/>
      <c r="U494" s="1602"/>
      <c r="V494" s="1602"/>
      <c r="W494" s="1602"/>
      <c r="X494" s="1602"/>
      <c r="Y494" s="1602"/>
      <c r="Z494" s="1602"/>
      <c r="AA494" s="1602"/>
      <c r="AB494" s="1602"/>
      <c r="AC494" s="1602"/>
      <c r="AD494" s="1602"/>
      <c r="AE494" s="1602"/>
      <c r="AF494" s="1602"/>
      <c r="AG494" s="1602"/>
      <c r="AH494" s="1602"/>
      <c r="AI494" s="1602"/>
      <c r="AJ494" s="1602"/>
      <c r="AK494" s="1603"/>
      <c r="AZ494" s="3"/>
      <c r="BB494" s="3"/>
      <c r="BC494" s="3"/>
    </row>
    <row r="495" spans="1:55" ht="12.9" customHeight="1">
      <c r="B495" s="45" t="s">
        <v>1408</v>
      </c>
      <c r="C495" s="5"/>
      <c r="D495" s="5"/>
      <c r="E495" s="5"/>
      <c r="F495" s="5"/>
      <c r="G495" s="5"/>
      <c r="H495" s="5"/>
      <c r="I495" s="5"/>
      <c r="J495" s="5"/>
      <c r="K495" s="5"/>
      <c r="L495" s="5"/>
      <c r="M495" s="5"/>
      <c r="N495" s="5"/>
      <c r="O495" s="5"/>
      <c r="P495" s="5"/>
      <c r="Q495" s="1601" t="s">
        <v>2788</v>
      </c>
      <c r="R495" s="1602"/>
      <c r="S495" s="1602"/>
      <c r="T495" s="1602"/>
      <c r="U495" s="1602"/>
      <c r="V495" s="1602"/>
      <c r="W495" s="1602"/>
      <c r="X495" s="1602"/>
      <c r="Y495" s="1602"/>
      <c r="Z495" s="1602"/>
      <c r="AA495" s="1602"/>
      <c r="AB495" s="1602"/>
      <c r="AC495" s="1602"/>
      <c r="AD495" s="1602"/>
      <c r="AE495" s="1602"/>
      <c r="AF495" s="1602"/>
      <c r="AG495" s="1602"/>
      <c r="AH495" s="1602"/>
      <c r="AI495" s="1602"/>
      <c r="AJ495" s="1602"/>
      <c r="AK495" s="1603"/>
      <c r="AZ495" s="3"/>
      <c r="BB495" s="3"/>
      <c r="BC495" s="3"/>
    </row>
    <row r="496" spans="1:55" ht="12.9" customHeight="1">
      <c r="B496" s="45" t="s">
        <v>1409</v>
      </c>
      <c r="C496" s="5"/>
      <c r="D496" s="5"/>
      <c r="E496" s="5"/>
      <c r="F496" s="5"/>
      <c r="G496" s="5"/>
      <c r="H496" s="5"/>
      <c r="I496" s="5"/>
      <c r="J496" s="5"/>
      <c r="K496" s="5"/>
      <c r="L496" s="5"/>
      <c r="M496" s="5"/>
      <c r="N496" s="5"/>
      <c r="O496" s="5"/>
      <c r="P496" s="5"/>
      <c r="Q496" s="1601" t="s">
        <v>2787</v>
      </c>
      <c r="R496" s="1602"/>
      <c r="S496" s="1602"/>
      <c r="T496" s="1602"/>
      <c r="U496" s="1602"/>
      <c r="V496" s="1602"/>
      <c r="W496" s="1602"/>
      <c r="X496" s="1602"/>
      <c r="Y496" s="1602"/>
      <c r="Z496" s="1602"/>
      <c r="AA496" s="1602"/>
      <c r="AB496" s="1602"/>
      <c r="AC496" s="1602"/>
      <c r="AD496" s="1602"/>
      <c r="AE496" s="1602"/>
      <c r="AF496" s="1602"/>
      <c r="AG496" s="1602"/>
      <c r="AH496" s="1602"/>
      <c r="AI496" s="1602"/>
      <c r="AJ496" s="1602"/>
      <c r="AK496" s="1603"/>
      <c r="AZ496" s="3"/>
      <c r="BA496" s="3"/>
      <c r="BB496" s="3"/>
      <c r="BC496" s="3"/>
    </row>
    <row r="497" spans="1:66" ht="12.9" customHeight="1">
      <c r="B497" s="1555" t="s">
        <v>1410</v>
      </c>
      <c r="C497" s="1417"/>
      <c r="D497" s="1417"/>
      <c r="E497" s="1417"/>
      <c r="F497" s="1417"/>
      <c r="G497" s="1417"/>
      <c r="H497" s="1417"/>
      <c r="I497" s="1417"/>
      <c r="J497" s="1417"/>
      <c r="K497" s="1417"/>
      <c r="L497" s="1417"/>
      <c r="M497" s="1417"/>
      <c r="N497" s="1417"/>
      <c r="O497" s="1417"/>
      <c r="P497" s="1423"/>
      <c r="Q497" s="1610" t="s">
        <v>811</v>
      </c>
      <c r="R497" s="1611"/>
      <c r="S497" s="1604" t="s">
        <v>935</v>
      </c>
      <c r="T497" s="1605"/>
      <c r="U497" s="1605"/>
      <c r="V497" s="1605"/>
      <c r="W497" s="1605"/>
      <c r="X497" s="1605"/>
      <c r="Y497" s="1605"/>
      <c r="Z497" s="1605"/>
      <c r="AA497" s="1605"/>
      <c r="AB497" s="1605"/>
      <c r="AC497" s="1605"/>
      <c r="AD497" s="1605"/>
      <c r="AE497" s="1605"/>
      <c r="AF497" s="1605"/>
      <c r="AG497" s="1605"/>
      <c r="AH497" s="1605"/>
      <c r="AI497" s="1605"/>
      <c r="AJ497" s="1605"/>
      <c r="AK497" s="1606"/>
      <c r="AZ497" s="3"/>
      <c r="BA497" s="3"/>
      <c r="BB497" s="3"/>
      <c r="BC497" s="3"/>
    </row>
    <row r="498" spans="1:66" ht="12.9" customHeight="1">
      <c r="B498" s="1404"/>
      <c r="C498" s="1405"/>
      <c r="D498" s="1405"/>
      <c r="E498" s="1405"/>
      <c r="F498" s="1405"/>
      <c r="G498" s="1405"/>
      <c r="H498" s="1405"/>
      <c r="I498" s="1405"/>
      <c r="J498" s="1405"/>
      <c r="K498" s="1405"/>
      <c r="L498" s="1405"/>
      <c r="M498" s="1405"/>
      <c r="N498" s="1405"/>
      <c r="O498" s="1405"/>
      <c r="P498" s="1296"/>
      <c r="Q498" s="1612"/>
      <c r="R498" s="1613"/>
      <c r="S498" s="1607"/>
      <c r="T498" s="1608"/>
      <c r="U498" s="1608"/>
      <c r="V498" s="1608"/>
      <c r="W498" s="1608"/>
      <c r="X498" s="1608"/>
      <c r="Y498" s="1608"/>
      <c r="Z498" s="1608"/>
      <c r="AA498" s="1608"/>
      <c r="AB498" s="1608"/>
      <c r="AC498" s="1608"/>
      <c r="AD498" s="1608"/>
      <c r="AE498" s="1608"/>
      <c r="AF498" s="1608"/>
      <c r="AG498" s="1608"/>
      <c r="AH498" s="1608"/>
      <c r="AI498" s="1608"/>
      <c r="AJ498" s="1608"/>
      <c r="AK498" s="1609"/>
      <c r="AZ498" s="3"/>
      <c r="BA498" s="3"/>
      <c r="BB498" s="3"/>
      <c r="BC498" s="3"/>
    </row>
    <row r="499" spans="1:66" ht="12.9" customHeight="1">
      <c r="B499" s="891" t="s">
        <v>1411</v>
      </c>
      <c r="C499" s="869"/>
      <c r="D499" s="869"/>
      <c r="E499" s="869"/>
      <c r="F499" s="869"/>
      <c r="G499" s="869"/>
      <c r="H499" s="869"/>
      <c r="I499" s="869"/>
      <c r="J499" s="869"/>
      <c r="K499" s="869"/>
      <c r="L499" s="869"/>
      <c r="M499" s="869"/>
      <c r="N499" s="869"/>
      <c r="O499" s="869"/>
      <c r="P499" s="869"/>
      <c r="Q499" s="1614" t="s">
        <v>811</v>
      </c>
      <c r="R499" s="1615"/>
      <c r="S499" s="1615"/>
      <c r="T499" s="1615"/>
      <c r="U499" s="1615"/>
      <c r="V499" s="1615"/>
      <c r="W499" s="1615"/>
      <c r="X499" s="1615"/>
      <c r="Y499" s="1615"/>
      <c r="Z499" s="1615"/>
      <c r="AA499" s="1615"/>
      <c r="AB499" s="1615"/>
      <c r="AC499" s="1615"/>
      <c r="AD499" s="1615"/>
      <c r="AE499" s="1615"/>
      <c r="AF499" s="1615"/>
      <c r="AG499" s="1615"/>
      <c r="AH499" s="1615"/>
      <c r="AI499" s="1615"/>
      <c r="AJ499" s="1615"/>
      <c r="AK499" s="1616"/>
      <c r="AZ499" s="3"/>
      <c r="BA499" s="3"/>
      <c r="BB499" s="3"/>
      <c r="BC499" s="3"/>
    </row>
    <row r="500" spans="1:66" ht="12.9" customHeight="1">
      <c r="B500" s="45" t="s">
        <v>1412</v>
      </c>
      <c r="C500" s="5"/>
      <c r="D500" s="5"/>
      <c r="E500" s="5"/>
      <c r="F500" s="5"/>
      <c r="G500" s="5"/>
      <c r="H500" s="5"/>
      <c r="I500" s="5"/>
      <c r="J500" s="5"/>
      <c r="K500" s="5"/>
      <c r="L500" s="5"/>
      <c r="M500" s="5"/>
      <c r="N500" s="5"/>
      <c r="O500" s="5"/>
      <c r="P500" s="5"/>
      <c r="Q500" s="1601" t="s">
        <v>2787</v>
      </c>
      <c r="R500" s="1602"/>
      <c r="S500" s="1602"/>
      <c r="T500" s="1602"/>
      <c r="U500" s="1602"/>
      <c r="V500" s="1602"/>
      <c r="W500" s="1602"/>
      <c r="X500" s="1602"/>
      <c r="Y500" s="1602"/>
      <c r="Z500" s="1602"/>
      <c r="AA500" s="1602"/>
      <c r="AB500" s="1602"/>
      <c r="AC500" s="1602"/>
      <c r="AD500" s="1602"/>
      <c r="AE500" s="1602"/>
      <c r="AF500" s="1602"/>
      <c r="AG500" s="1602"/>
      <c r="AH500" s="1602"/>
      <c r="AI500" s="1602"/>
      <c r="AJ500" s="1602"/>
      <c r="AK500" s="1603"/>
      <c r="AZ500" s="3"/>
      <c r="BA500" s="3"/>
      <c r="BB500" s="3"/>
      <c r="BC500" s="3"/>
    </row>
    <row r="501" spans="1:66" ht="12.9" customHeight="1">
      <c r="B501" s="45" t="s">
        <v>1413</v>
      </c>
      <c r="C501" s="5"/>
      <c r="D501" s="5"/>
      <c r="E501" s="5"/>
      <c r="F501" s="5"/>
      <c r="G501" s="5"/>
      <c r="H501" s="5"/>
      <c r="I501" s="5"/>
      <c r="J501" s="5"/>
      <c r="K501" s="5"/>
      <c r="L501" s="5"/>
      <c r="M501" s="5"/>
      <c r="N501" s="5"/>
      <c r="O501" s="5"/>
      <c r="P501" s="5"/>
      <c r="Q501" s="1601" t="s">
        <v>2787</v>
      </c>
      <c r="R501" s="1602"/>
      <c r="S501" s="1602"/>
      <c r="T501" s="1602"/>
      <c r="U501" s="1602"/>
      <c r="V501" s="1602"/>
      <c r="W501" s="1602"/>
      <c r="X501" s="1602"/>
      <c r="Y501" s="1602"/>
      <c r="Z501" s="1602"/>
      <c r="AA501" s="1602"/>
      <c r="AB501" s="1602"/>
      <c r="AC501" s="1602"/>
      <c r="AD501" s="1602"/>
      <c r="AE501" s="1602"/>
      <c r="AF501" s="1602"/>
      <c r="AG501" s="1602"/>
      <c r="AH501" s="1602"/>
      <c r="AI501" s="1602"/>
      <c r="AJ501" s="1602"/>
      <c r="AK501" s="1603"/>
      <c r="AZ501" s="3"/>
      <c r="BA501" s="3"/>
      <c r="BB501" s="3"/>
      <c r="BC501" s="3"/>
    </row>
    <row r="502" spans="1:66" ht="12.9" customHeight="1">
      <c r="B502" s="121" t="s">
        <v>1414</v>
      </c>
      <c r="C502" s="5"/>
      <c r="D502" s="5"/>
      <c r="E502" s="5"/>
      <c r="F502" s="5"/>
      <c r="G502" s="5"/>
      <c r="H502" s="5"/>
      <c r="I502" s="5"/>
      <c r="J502" s="5"/>
      <c r="K502" s="5"/>
      <c r="L502" s="5"/>
      <c r="M502" s="5"/>
      <c r="N502" s="5"/>
      <c r="O502" s="5"/>
      <c r="P502" s="5"/>
      <c r="Q502" s="1463">
        <v>75</v>
      </c>
      <c r="R502" s="1374"/>
      <c r="S502" s="1374"/>
      <c r="T502" s="1374"/>
      <c r="U502" s="1374"/>
      <c r="V502" s="1374"/>
      <c r="W502" s="1374"/>
      <c r="X502" s="1374"/>
      <c r="Y502" s="1374"/>
      <c r="Z502" s="1374"/>
      <c r="AA502" s="1374"/>
      <c r="AB502" s="1374"/>
      <c r="AC502" s="1374"/>
      <c r="AD502" s="1374"/>
      <c r="AE502" s="1374"/>
      <c r="AF502" s="1374"/>
      <c r="AG502" s="1374"/>
      <c r="AH502" s="1374"/>
      <c r="AI502" s="1374"/>
      <c r="AJ502" s="1374"/>
      <c r="AK502" s="1375"/>
      <c r="AZ502" s="3"/>
      <c r="BA502" s="3"/>
      <c r="BB502" s="3"/>
      <c r="BC502" s="3"/>
    </row>
    <row r="503" spans="1:66" ht="12.9" customHeight="1">
      <c r="B503" s="121" t="s">
        <v>1415</v>
      </c>
      <c r="C503" s="5"/>
      <c r="D503" s="5"/>
      <c r="E503" s="5"/>
      <c r="F503" s="5"/>
      <c r="G503" s="5"/>
      <c r="H503" s="5"/>
      <c r="I503" s="5"/>
      <c r="J503" s="5"/>
      <c r="K503" s="5"/>
      <c r="L503" s="5"/>
      <c r="M503" s="1415">
        <v>75</v>
      </c>
      <c r="N503" s="1374"/>
      <c r="O503" s="1374"/>
      <c r="P503" s="1375"/>
      <c r="Q503" s="121" t="s">
        <v>1416</v>
      </c>
      <c r="R503" s="5"/>
      <c r="S503" s="5"/>
      <c r="T503" s="5"/>
      <c r="U503" s="5"/>
      <c r="V503" s="5"/>
      <c r="W503" s="5"/>
      <c r="X503" s="5"/>
      <c r="Y503" s="5"/>
      <c r="Z503" s="5"/>
      <c r="AA503" s="5"/>
      <c r="AB503" s="5"/>
      <c r="AC503" s="5"/>
      <c r="AD503" s="5"/>
      <c r="AE503" s="5"/>
      <c r="AF503" s="5"/>
      <c r="AG503" s="5"/>
      <c r="AH503" s="1415">
        <v>0</v>
      </c>
      <c r="AI503" s="1374"/>
      <c r="AJ503" s="1374"/>
      <c r="AK503" s="1375"/>
      <c r="AZ503" s="3"/>
      <c r="BA503" s="3"/>
      <c r="BB503" s="3"/>
      <c r="BC503" s="3"/>
    </row>
    <row r="504" spans="1:66" ht="12.9"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 customHeight="1">
      <c r="A505" s="2" t="s">
        <v>1031</v>
      </c>
      <c r="C505" s="2" t="s">
        <v>279</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455" t="s">
        <v>1417</v>
      </c>
      <c r="AD507" s="1263"/>
      <c r="AE507" s="1263"/>
      <c r="AF507" s="1263"/>
      <c r="AG507" s="1263"/>
      <c r="AH507" s="1263"/>
      <c r="AI507" s="1263"/>
      <c r="AJ507" s="1263"/>
      <c r="AK507" s="1264"/>
      <c r="AZ507" s="3"/>
      <c r="BA507" s="3"/>
      <c r="BB507" s="3"/>
      <c r="BC507" s="3"/>
      <c r="BD507" s="3"/>
      <c r="BE507" s="3"/>
      <c r="BF507" s="3"/>
      <c r="BG507" s="3"/>
      <c r="BH507" s="3"/>
      <c r="BI507" s="3"/>
      <c r="BJ507" s="3"/>
      <c r="BK507" s="3"/>
      <c r="BL507" s="3"/>
      <c r="BM507" s="3"/>
      <c r="BN507" s="3"/>
    </row>
    <row r="508" spans="1:66" ht="12.9"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518" t="s">
        <v>1418</v>
      </c>
      <c r="AD508" s="1263"/>
      <c r="AE508" s="1263"/>
      <c r="AF508" s="1263"/>
      <c r="AG508" s="50" t="s">
        <v>1419</v>
      </c>
      <c r="AH508" s="1497" t="s">
        <v>1420</v>
      </c>
      <c r="AI508" s="1263"/>
      <c r="AJ508" s="1263"/>
      <c r="AK508" s="1264"/>
      <c r="AZ508" s="3"/>
      <c r="BA508" s="3"/>
      <c r="BB508" s="3"/>
      <c r="BC508" s="3"/>
      <c r="BD508" s="3"/>
      <c r="BE508" s="3"/>
      <c r="BF508" s="3"/>
      <c r="BG508" s="3"/>
      <c r="BH508" s="3"/>
      <c r="BI508" s="3"/>
      <c r="BJ508" s="3"/>
      <c r="BK508" s="3"/>
      <c r="BL508" s="3"/>
      <c r="BM508" s="3"/>
      <c r="BN508" s="3"/>
    </row>
    <row r="509" spans="1:66" ht="12.9" customHeight="1">
      <c r="B509" s="1575" t="s">
        <v>1421</v>
      </c>
      <c r="C509" s="1417"/>
      <c r="D509" s="1417"/>
      <c r="E509" s="1417"/>
      <c r="F509" s="1417"/>
      <c r="G509" s="1417"/>
      <c r="H509" s="1423"/>
      <c r="I509" s="42" t="s">
        <v>1422</v>
      </c>
      <c r="J509" s="42"/>
      <c r="K509" s="42"/>
      <c r="L509" s="42"/>
      <c r="M509" s="42"/>
      <c r="N509" s="42"/>
      <c r="O509" s="42"/>
      <c r="P509" s="42"/>
      <c r="Q509" s="42"/>
      <c r="R509" s="42"/>
      <c r="S509" s="42"/>
      <c r="T509" s="42"/>
      <c r="U509" s="42"/>
      <c r="V509" s="42"/>
      <c r="W509" s="42"/>
      <c r="AC509" s="1386" t="s">
        <v>935</v>
      </c>
      <c r="AD509" s="1294"/>
      <c r="AE509" s="1294"/>
      <c r="AF509" s="1294"/>
      <c r="AG509" s="13" t="s">
        <v>1419</v>
      </c>
      <c r="AH509" s="1391" t="s">
        <v>935</v>
      </c>
      <c r="AI509" s="1374"/>
      <c r="AJ509" s="1374"/>
      <c r="AK509" s="1375"/>
      <c r="AZ509" s="3"/>
      <c r="BA509" s="3"/>
      <c r="BB509" s="3"/>
      <c r="BC509" s="3"/>
      <c r="BD509" s="3"/>
      <c r="BE509" s="3"/>
      <c r="BF509" s="3"/>
      <c r="BG509" s="3"/>
      <c r="BH509" s="3"/>
      <c r="BI509" s="3"/>
      <c r="BJ509" s="3"/>
      <c r="BK509" s="3"/>
      <c r="BL509" s="3"/>
      <c r="BM509" s="3"/>
      <c r="BN509" s="3"/>
    </row>
    <row r="510" spans="1:66" ht="12.9" customHeight="1">
      <c r="B510" s="1403"/>
      <c r="C510" s="1298"/>
      <c r="D510" s="1298"/>
      <c r="E510" s="1298"/>
      <c r="F510" s="1298"/>
      <c r="G510" s="1298"/>
      <c r="H510" s="1383"/>
      <c r="I510" s="48" t="s">
        <v>1423</v>
      </c>
      <c r="J510" s="48"/>
      <c r="K510" s="48"/>
      <c r="L510" s="48"/>
      <c r="M510" s="48"/>
      <c r="N510" s="48"/>
      <c r="O510" s="48"/>
      <c r="P510" s="48"/>
      <c r="Q510" s="48"/>
      <c r="R510" s="48"/>
      <c r="S510" s="48"/>
      <c r="T510" s="48"/>
      <c r="U510" s="48"/>
      <c r="V510" s="48"/>
      <c r="W510" s="48"/>
      <c r="X510" s="48"/>
      <c r="Y510" s="48"/>
      <c r="Z510" s="48"/>
      <c r="AA510" s="48"/>
      <c r="AB510" s="48"/>
      <c r="AC510" s="1386">
        <v>7</v>
      </c>
      <c r="AD510" s="1294"/>
      <c r="AE510" s="1294"/>
      <c r="AF510" s="1294"/>
      <c r="AG510" s="38" t="s">
        <v>1419</v>
      </c>
      <c r="AH510" s="1391">
        <v>2026</v>
      </c>
      <c r="AI510" s="1374"/>
      <c r="AJ510" s="1374"/>
      <c r="AK510" s="1375"/>
      <c r="AZ510" s="3"/>
      <c r="BA510" s="3"/>
      <c r="BB510" s="3"/>
      <c r="BC510" s="3"/>
      <c r="BD510" s="3"/>
      <c r="BE510" s="3"/>
      <c r="BF510" s="3"/>
      <c r="BG510" s="3"/>
      <c r="BH510" s="3"/>
      <c r="BI510" s="3"/>
      <c r="BJ510" s="3"/>
      <c r="BK510" s="3"/>
      <c r="BL510" s="3"/>
      <c r="BM510" s="3"/>
      <c r="BN510" s="3"/>
    </row>
    <row r="511" spans="1:66" ht="12.9" customHeight="1">
      <c r="B511" s="1575" t="s">
        <v>1424</v>
      </c>
      <c r="C511" s="1417"/>
      <c r="D511" s="1417"/>
      <c r="E511" s="1417"/>
      <c r="F511" s="1417"/>
      <c r="G511" s="1417"/>
      <c r="H511" s="1423"/>
      <c r="I511" s="42" t="s">
        <v>1425</v>
      </c>
      <c r="J511" s="42"/>
      <c r="K511" s="42"/>
      <c r="L511" s="42"/>
      <c r="M511" s="42"/>
      <c r="N511" s="42"/>
      <c r="O511" s="42"/>
      <c r="P511" s="42"/>
      <c r="Q511" s="42"/>
      <c r="R511" s="42"/>
      <c r="S511" s="42"/>
      <c r="T511" s="42"/>
      <c r="U511" s="42"/>
      <c r="V511" s="42"/>
      <c r="W511" s="42"/>
      <c r="AC511" s="1386" t="s">
        <v>935</v>
      </c>
      <c r="AD511" s="1294"/>
      <c r="AE511" s="1294"/>
      <c r="AF511" s="1294"/>
      <c r="AG511" s="13" t="s">
        <v>1419</v>
      </c>
      <c r="AH511" s="1391" t="s">
        <v>935</v>
      </c>
      <c r="AI511" s="1374"/>
      <c r="AJ511" s="1374"/>
      <c r="AK511" s="1375"/>
      <c r="AZ511" s="3"/>
      <c r="BA511" s="3"/>
      <c r="BB511" s="3"/>
      <c r="BC511" s="3"/>
      <c r="BD511" s="3"/>
      <c r="BE511" s="3"/>
      <c r="BF511" s="3"/>
      <c r="BG511" s="3"/>
      <c r="BH511" s="3"/>
      <c r="BI511" s="3"/>
      <c r="BJ511" s="3"/>
      <c r="BK511" s="3"/>
      <c r="BL511" s="3"/>
      <c r="BM511" s="3"/>
      <c r="BN511" s="3"/>
    </row>
    <row r="512" spans="1:66" ht="12.9" customHeight="1">
      <c r="B512" s="1403"/>
      <c r="C512" s="1298"/>
      <c r="D512" s="1298"/>
      <c r="E512" s="1298"/>
      <c r="F512" s="1298"/>
      <c r="G512" s="1298"/>
      <c r="H512" s="1383"/>
      <c r="I512" t="s">
        <v>1426</v>
      </c>
      <c r="AC512" s="1386" t="s">
        <v>935</v>
      </c>
      <c r="AD512" s="1294"/>
      <c r="AE512" s="1294"/>
      <c r="AF512" s="1294"/>
      <c r="AG512" s="13" t="s">
        <v>1419</v>
      </c>
      <c r="AH512" s="1391" t="s">
        <v>935</v>
      </c>
      <c r="AI512" s="1374"/>
      <c r="AJ512" s="1374"/>
      <c r="AK512" s="1375"/>
      <c r="AZ512" s="3"/>
      <c r="BA512" s="3"/>
      <c r="BB512" s="3"/>
      <c r="BC512" s="3"/>
      <c r="BD512" s="3"/>
      <c r="BE512" s="3"/>
      <c r="BF512" s="3"/>
      <c r="BG512" s="3"/>
      <c r="BH512" s="3"/>
      <c r="BI512" s="3"/>
      <c r="BJ512" s="3"/>
      <c r="BK512" s="3"/>
      <c r="BL512" s="3"/>
      <c r="BM512" s="3"/>
      <c r="BN512" s="3"/>
    </row>
    <row r="513" spans="2:66" ht="12.9" customHeight="1">
      <c r="B513" s="1403"/>
      <c r="C513" s="1298"/>
      <c r="D513" s="1298"/>
      <c r="E513" s="1298"/>
      <c r="F513" s="1298"/>
      <c r="G513" s="1298"/>
      <c r="H513" s="1383"/>
      <c r="I513" t="s">
        <v>1427</v>
      </c>
      <c r="AC513" s="1386" t="s">
        <v>935</v>
      </c>
      <c r="AD513" s="1294"/>
      <c r="AE513" s="1294"/>
      <c r="AF513" s="1294"/>
      <c r="AG513" s="13" t="s">
        <v>1419</v>
      </c>
      <c r="AH513" s="1391" t="s">
        <v>935</v>
      </c>
      <c r="AI513" s="1374"/>
      <c r="AJ513" s="1374"/>
      <c r="AK513" s="1375"/>
      <c r="AZ513" s="3"/>
      <c r="BA513" s="3"/>
      <c r="BB513" s="3"/>
      <c r="BC513" s="3"/>
      <c r="BD513" s="3"/>
      <c r="BE513" s="3"/>
      <c r="BF513" s="3"/>
      <c r="BG513" s="3"/>
      <c r="BH513" s="3"/>
      <c r="BI513" s="3"/>
      <c r="BJ513" s="3"/>
      <c r="BK513" s="3"/>
      <c r="BL513" s="3"/>
      <c r="BM513" s="3"/>
      <c r="BN513" s="3"/>
    </row>
    <row r="514" spans="2:66" ht="12.9" customHeight="1">
      <c r="B514" s="1403"/>
      <c r="C514" s="1298"/>
      <c r="D514" s="1298"/>
      <c r="E514" s="1298"/>
      <c r="F514" s="1298"/>
      <c r="G514" s="1298"/>
      <c r="H514" s="1383"/>
      <c r="I514" t="s">
        <v>1428</v>
      </c>
      <c r="AC514" s="1386" t="s">
        <v>935</v>
      </c>
      <c r="AD514" s="1294"/>
      <c r="AE514" s="1294"/>
      <c r="AF514" s="1294"/>
      <c r="AG514" s="13" t="s">
        <v>1419</v>
      </c>
      <c r="AH514" s="1391" t="s">
        <v>935</v>
      </c>
      <c r="AI514" s="1374"/>
      <c r="AJ514" s="1374"/>
      <c r="AK514" s="1375"/>
      <c r="AZ514" s="3"/>
      <c r="BA514" s="3"/>
      <c r="BB514" s="3"/>
      <c r="BC514" s="3"/>
      <c r="BD514" s="3"/>
      <c r="BE514" s="3"/>
      <c r="BF514" s="3"/>
      <c r="BG514" s="3"/>
      <c r="BH514" s="3"/>
      <c r="BI514" s="3"/>
      <c r="BJ514" s="3"/>
      <c r="BK514" s="3"/>
      <c r="BL514" s="3"/>
      <c r="BM514" s="3"/>
      <c r="BN514" s="3"/>
    </row>
    <row r="515" spans="2:66" ht="12.9" customHeight="1">
      <c r="B515" s="1403"/>
      <c r="C515" s="1298"/>
      <c r="D515" s="1298"/>
      <c r="E515" s="1298"/>
      <c r="F515" s="1298"/>
      <c r="G515" s="1298"/>
      <c r="H515" s="1383"/>
      <c r="I515" s="3" t="s">
        <v>1429</v>
      </c>
      <c r="AC515" s="1630">
        <v>11</v>
      </c>
      <c r="AD515" s="1374"/>
      <c r="AE515" s="1374"/>
      <c r="AF515" s="1374"/>
      <c r="AG515" s="13" t="s">
        <v>1419</v>
      </c>
      <c r="AH515" s="1391">
        <v>2026</v>
      </c>
      <c r="AI515" s="1374"/>
      <c r="AJ515" s="1374"/>
      <c r="AK515" s="1375"/>
      <c r="AZ515" s="3"/>
      <c r="BA515" s="3"/>
      <c r="BB515" s="3"/>
      <c r="BC515" s="3"/>
      <c r="BD515" s="3"/>
      <c r="BE515" s="3"/>
      <c r="BF515" s="3"/>
      <c r="BG515" s="3"/>
      <c r="BH515" s="3"/>
      <c r="BI515" s="3"/>
      <c r="BJ515" s="3"/>
      <c r="BK515" s="3"/>
      <c r="BL515" s="3"/>
      <c r="BM515" s="3"/>
      <c r="BN515" s="3"/>
    </row>
    <row r="516" spans="2:66" ht="12.9" customHeight="1">
      <c r="B516" s="1403"/>
      <c r="C516" s="1298"/>
      <c r="D516" s="1298"/>
      <c r="E516" s="1298"/>
      <c r="F516" s="1298"/>
      <c r="G516" s="1298"/>
      <c r="H516" s="1383"/>
      <c r="I516" s="892" t="s">
        <v>345</v>
      </c>
      <c r="J516" s="48"/>
      <c r="K516" s="48"/>
      <c r="L516" s="1579" t="s">
        <v>1353</v>
      </c>
      <c r="M516" s="1294"/>
      <c r="N516" s="1294"/>
      <c r="O516" s="1294"/>
      <c r="P516" s="1294"/>
      <c r="Q516" s="1294"/>
      <c r="R516" s="1294"/>
      <c r="S516" s="1294"/>
      <c r="T516" s="1294"/>
      <c r="U516" s="1294"/>
      <c r="V516" s="1294"/>
      <c r="W516" s="1294"/>
      <c r="X516" s="1294"/>
      <c r="Y516" s="1294"/>
      <c r="Z516" s="1294"/>
      <c r="AA516" s="1294"/>
      <c r="AB516" s="1388"/>
      <c r="AC516" s="1386" t="s">
        <v>935</v>
      </c>
      <c r="AD516" s="1294"/>
      <c r="AE516" s="1294"/>
      <c r="AF516" s="1294"/>
      <c r="AG516" s="38" t="s">
        <v>1419</v>
      </c>
      <c r="AH516" s="1391" t="s">
        <v>935</v>
      </c>
      <c r="AI516" s="1374"/>
      <c r="AJ516" s="1374"/>
      <c r="AK516" s="1375"/>
      <c r="AZ516" s="3"/>
      <c r="BA516" s="3"/>
      <c r="BB516" s="3"/>
      <c r="BC516" s="3"/>
      <c r="BD516" s="3"/>
      <c r="BE516" s="3"/>
      <c r="BF516" s="3"/>
      <c r="BG516" s="3"/>
      <c r="BH516" s="3"/>
      <c r="BI516" s="3"/>
      <c r="BJ516" s="3"/>
      <c r="BK516" s="3"/>
      <c r="BL516" s="3"/>
      <c r="BM516" s="3"/>
      <c r="BN516" s="3"/>
    </row>
    <row r="517" spans="2:66" ht="12.9" customHeight="1">
      <c r="B517" s="867"/>
      <c r="C517" s="130"/>
      <c r="D517" s="130"/>
      <c r="E517" s="130"/>
      <c r="F517" s="130"/>
      <c r="G517" s="130"/>
      <c r="H517" s="868"/>
      <c r="I517" s="3" t="s">
        <v>1430</v>
      </c>
      <c r="AC517" s="1392" t="s">
        <v>811</v>
      </c>
      <c r="AD517" s="1374"/>
      <c r="AE517" s="1374"/>
      <c r="AF517" s="1375"/>
      <c r="AG517" s="13"/>
      <c r="AH517" s="1544"/>
      <c r="AI517" s="1298"/>
      <c r="AJ517" s="1298"/>
      <c r="AK517" s="1383"/>
      <c r="AZ517" s="3"/>
      <c r="BA517" s="3"/>
      <c r="BB517" s="3"/>
      <c r="BC517" s="3"/>
      <c r="BD517" s="3"/>
      <c r="BE517" s="3"/>
      <c r="BF517" s="3"/>
      <c r="BG517" s="3"/>
      <c r="BH517" s="3"/>
      <c r="BI517" s="3"/>
      <c r="BJ517" s="3"/>
      <c r="BK517" s="3"/>
      <c r="BL517" s="3"/>
      <c r="BM517" s="3"/>
      <c r="BN517" s="3"/>
    </row>
    <row r="518" spans="2:66" ht="12.9" customHeight="1">
      <c r="B518" s="867"/>
      <c r="C518" s="130"/>
      <c r="D518" s="130"/>
      <c r="E518" s="130"/>
      <c r="F518" s="130"/>
      <c r="G518" s="130"/>
      <c r="H518" s="868"/>
      <c r="I518" t="s">
        <v>1431</v>
      </c>
      <c r="AC518" s="1392" t="s">
        <v>935</v>
      </c>
      <c r="AD518" s="1374"/>
      <c r="AE518" s="1374"/>
      <c r="AF518" s="1375"/>
      <c r="AG518" s="13"/>
      <c r="AH518" s="1544"/>
      <c r="AI518" s="1298"/>
      <c r="AJ518" s="1298"/>
      <c r="AK518" s="1383"/>
      <c r="AZ518" s="3"/>
      <c r="BA518" s="3"/>
      <c r="BB518" s="3"/>
      <c r="BC518" s="3"/>
      <c r="BD518" s="3"/>
      <c r="BE518" s="3"/>
      <c r="BF518" s="3"/>
      <c r="BG518" s="3"/>
      <c r="BH518" s="3"/>
      <c r="BI518" s="3"/>
      <c r="BJ518" s="3"/>
      <c r="BK518" s="3"/>
      <c r="BL518" s="3"/>
      <c r="BM518" s="3"/>
      <c r="BN518" s="3"/>
    </row>
    <row r="519" spans="2:66" ht="12.9" customHeight="1">
      <c r="B519" s="867"/>
      <c r="C519" s="130"/>
      <c r="D519" s="130"/>
      <c r="E519" s="130"/>
      <c r="F519" s="130"/>
      <c r="G519" s="130"/>
      <c r="H519" s="868"/>
      <c r="I519" t="s">
        <v>1432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 customHeight="1">
      <c r="B520" s="867"/>
      <c r="C520" s="130"/>
      <c r="D520" s="130"/>
      <c r="E520" s="130"/>
      <c r="F520" s="130"/>
      <c r="G520" s="130"/>
      <c r="H520" s="868"/>
      <c r="I520" s="893" t="s">
        <v>1433</v>
      </c>
      <c r="J520" s="48"/>
      <c r="K520" s="48"/>
      <c r="L520" s="48"/>
      <c r="M520" s="48"/>
      <c r="N520" s="48"/>
      <c r="O520" s="48"/>
      <c r="P520" s="48"/>
      <c r="Q520" s="48"/>
      <c r="R520" s="48"/>
      <c r="S520" s="48"/>
      <c r="T520" s="48"/>
      <c r="U520" s="48"/>
      <c r="V520" s="48"/>
      <c r="W520" s="48"/>
      <c r="X520" s="48"/>
      <c r="Y520" s="48"/>
      <c r="Z520" s="48"/>
      <c r="AA520" s="48"/>
      <c r="AB520" s="48"/>
      <c r="AC520" s="1565" t="s">
        <v>935</v>
      </c>
      <c r="AD520" s="1374"/>
      <c r="AE520" s="1374"/>
      <c r="AF520" s="1375"/>
      <c r="AG520" s="38"/>
      <c r="AH520" s="1639"/>
      <c r="AI520" s="1405"/>
      <c r="AJ520" s="1405"/>
      <c r="AK520" s="1296"/>
      <c r="AZ520" s="3"/>
      <c r="BA520" s="3"/>
      <c r="BB520" s="3"/>
      <c r="BC520" s="3"/>
      <c r="BD520" s="3"/>
      <c r="BE520" s="3"/>
      <c r="BF520" s="3"/>
      <c r="BG520" s="3"/>
      <c r="BH520" s="3"/>
      <c r="BI520" s="3"/>
      <c r="BJ520" s="3"/>
      <c r="BK520" s="3"/>
      <c r="BL520" s="3"/>
      <c r="BM520" s="3"/>
      <c r="BN520" s="3" t="s">
        <v>1116</v>
      </c>
    </row>
    <row r="521" spans="2:66" ht="12.9"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526" t="s">
        <v>1418</v>
      </c>
      <c r="AD521" s="1405"/>
      <c r="AE521" s="1405"/>
      <c r="AF521" s="1405"/>
      <c r="AG521" s="38" t="s">
        <v>1419</v>
      </c>
      <c r="AH521" s="1445" t="s">
        <v>1420</v>
      </c>
      <c r="AI521" s="1405"/>
      <c r="AJ521" s="1405"/>
      <c r="AK521" s="1296"/>
      <c r="AZ521" s="3"/>
      <c r="BA521" s="3"/>
      <c r="BB521" s="3"/>
      <c r="BC521" s="3"/>
      <c r="BD521" s="3"/>
      <c r="BE521" s="3"/>
      <c r="BF521" s="3"/>
      <c r="BG521" s="3"/>
      <c r="BH521" s="3"/>
      <c r="BI521" s="3"/>
      <c r="BJ521" s="3"/>
      <c r="BK521" s="3"/>
      <c r="BL521" s="3"/>
      <c r="BM521" s="3"/>
      <c r="BN521" s="3" t="s">
        <v>1434</v>
      </c>
    </row>
    <row r="522" spans="2:66" ht="12.9" customHeight="1">
      <c r="B522" s="1575" t="s">
        <v>1435</v>
      </c>
      <c r="C522" s="1417"/>
      <c r="D522" s="1417"/>
      <c r="E522" s="1417"/>
      <c r="F522" s="1417"/>
      <c r="G522" s="1417"/>
      <c r="H522" s="1423"/>
      <c r="I522" s="42" t="s">
        <v>1436</v>
      </c>
      <c r="J522" s="42"/>
      <c r="K522" s="42"/>
      <c r="L522" s="42"/>
      <c r="M522" s="42"/>
      <c r="N522" s="42"/>
      <c r="O522" s="42"/>
      <c r="P522" s="42"/>
      <c r="Q522" s="42"/>
      <c r="R522" s="42"/>
      <c r="S522" s="42"/>
      <c r="T522" s="42"/>
      <c r="U522" s="42"/>
      <c r="V522" s="42"/>
      <c r="W522" s="42"/>
      <c r="AC522" s="1386">
        <v>3</v>
      </c>
      <c r="AD522" s="1294"/>
      <c r="AE522" s="1294"/>
      <c r="AF522" s="1294"/>
      <c r="AG522" s="13" t="s">
        <v>1419</v>
      </c>
      <c r="AH522" s="1391">
        <v>2026</v>
      </c>
      <c r="AI522" s="1374"/>
      <c r="AJ522" s="1374"/>
      <c r="AK522" s="1375"/>
      <c r="AZ522" s="3"/>
      <c r="BA522" s="3"/>
      <c r="BB522" s="3"/>
      <c r="BC522" s="3"/>
      <c r="BD522" s="3"/>
      <c r="BE522" s="3"/>
      <c r="BF522" s="3"/>
      <c r="BG522" s="3"/>
      <c r="BH522" s="3"/>
      <c r="BI522" s="3"/>
      <c r="BJ522" s="3"/>
      <c r="BK522" s="3"/>
      <c r="BL522" s="3"/>
      <c r="BM522" s="3"/>
      <c r="BN522" s="3" t="s">
        <v>1437</v>
      </c>
    </row>
    <row r="523" spans="2:66" ht="12.9" customHeight="1">
      <c r="B523" s="1403"/>
      <c r="C523" s="1298"/>
      <c r="D523" s="1298"/>
      <c r="E523" s="1298"/>
      <c r="F523" s="1298"/>
      <c r="G523" s="1298"/>
      <c r="H523" s="1383"/>
      <c r="I523" t="s">
        <v>1438</v>
      </c>
      <c r="AC523" s="1386">
        <v>5</v>
      </c>
      <c r="AD523" s="1294"/>
      <c r="AE523" s="1294"/>
      <c r="AF523" s="1294"/>
      <c r="AG523" s="13" t="s">
        <v>1419</v>
      </c>
      <c r="AH523" s="1391">
        <v>2026</v>
      </c>
      <c r="AI523" s="1374"/>
      <c r="AJ523" s="1374"/>
      <c r="AK523" s="1375"/>
      <c r="AZ523" s="3"/>
      <c r="BA523" s="3"/>
      <c r="BB523" s="3"/>
      <c r="BC523" s="3"/>
      <c r="BD523" s="3"/>
      <c r="BE523" s="3"/>
      <c r="BF523" s="3"/>
      <c r="BG523" s="3"/>
      <c r="BH523" s="3"/>
      <c r="BI523" s="3"/>
      <c r="BJ523" s="3"/>
      <c r="BK523" s="3"/>
      <c r="BL523" s="3"/>
      <c r="BM523" s="3"/>
      <c r="BN523" s="3" t="s">
        <v>1439</v>
      </c>
    </row>
    <row r="524" spans="2:66" ht="12.9" customHeight="1">
      <c r="B524" s="1403"/>
      <c r="C524" s="1298"/>
      <c r="D524" s="1298"/>
      <c r="E524" s="1298"/>
      <c r="F524" s="1298"/>
      <c r="G524" s="1298"/>
      <c r="H524" s="1383"/>
      <c r="I524" s="48" t="s">
        <v>1440</v>
      </c>
      <c r="J524" s="48"/>
      <c r="K524" s="48"/>
      <c r="L524" s="48"/>
      <c r="M524" s="48"/>
      <c r="N524" s="48"/>
      <c r="O524" s="48"/>
      <c r="P524" s="48"/>
      <c r="Q524" s="48"/>
      <c r="R524" s="48"/>
      <c r="S524" s="48"/>
      <c r="T524" s="48"/>
      <c r="U524" s="48"/>
      <c r="V524" s="48"/>
      <c r="W524" s="48"/>
      <c r="X524" s="48"/>
      <c r="Y524" s="48"/>
      <c r="Z524" s="48"/>
      <c r="AA524" s="48"/>
      <c r="AB524" s="48"/>
      <c r="AC524" s="1386">
        <v>12</v>
      </c>
      <c r="AD524" s="1294"/>
      <c r="AE524" s="1294"/>
      <c r="AF524" s="1294"/>
      <c r="AG524" s="38" t="s">
        <v>1419</v>
      </c>
      <c r="AH524" s="1391">
        <v>2026</v>
      </c>
      <c r="AI524" s="1374"/>
      <c r="AJ524" s="1374"/>
      <c r="AK524" s="1375"/>
      <c r="AZ524" s="3"/>
      <c r="BA524" s="3"/>
      <c r="BB524" s="3"/>
      <c r="BC524" s="3"/>
      <c r="BD524" s="3"/>
      <c r="BE524" s="3"/>
      <c r="BF524" s="3"/>
      <c r="BG524" s="3"/>
      <c r="BH524" s="3"/>
      <c r="BI524" s="3"/>
      <c r="BJ524" s="3"/>
      <c r="BK524" s="3"/>
      <c r="BL524" s="3"/>
      <c r="BM524" s="3"/>
      <c r="BN524" s="3" t="s">
        <v>1441</v>
      </c>
    </row>
    <row r="525" spans="2:66" ht="12.9" customHeight="1">
      <c r="B525" s="1432" t="s">
        <v>1442</v>
      </c>
      <c r="C525" s="1417"/>
      <c r="D525" s="1417"/>
      <c r="E525" s="1417"/>
      <c r="F525" s="1417"/>
      <c r="G525" s="1417"/>
      <c r="H525" s="1423"/>
      <c r="I525" s="42" t="s">
        <v>1436</v>
      </c>
      <c r="J525" s="42"/>
      <c r="K525" s="42"/>
      <c r="L525" s="42"/>
      <c r="M525" s="42"/>
      <c r="N525" s="42"/>
      <c r="O525" s="42"/>
      <c r="P525" s="42"/>
      <c r="Q525" s="42"/>
      <c r="R525" s="42"/>
      <c r="S525" s="42"/>
      <c r="T525" s="42"/>
      <c r="U525" s="42"/>
      <c r="V525" s="42"/>
      <c r="W525" s="42"/>
      <c r="X525" s="42"/>
      <c r="Y525" s="42"/>
      <c r="Z525" s="42"/>
      <c r="AA525" s="42"/>
      <c r="AB525" s="42"/>
      <c r="AC525" s="1630">
        <v>3</v>
      </c>
      <c r="AD525" s="1374"/>
      <c r="AE525" s="1374"/>
      <c r="AF525" s="1374"/>
      <c r="AG525" s="129" t="s">
        <v>1419</v>
      </c>
      <c r="AH525" s="1391">
        <v>2026</v>
      </c>
      <c r="AI525" s="1374"/>
      <c r="AJ525" s="1374"/>
      <c r="AK525" s="1375"/>
      <c r="AZ525" s="3"/>
      <c r="BB525" s="3"/>
      <c r="BC525" s="3"/>
      <c r="BD525" s="3"/>
      <c r="BE525" s="3"/>
      <c r="BF525" s="3"/>
      <c r="BG525" s="3"/>
      <c r="BH525" s="3"/>
      <c r="BI525" s="3"/>
      <c r="BJ525" s="3"/>
      <c r="BK525" s="3"/>
      <c r="BL525" s="3"/>
      <c r="BM525" s="3"/>
      <c r="BN525" s="3" t="s">
        <v>1443</v>
      </c>
    </row>
    <row r="526" spans="2:66" ht="12.9" customHeight="1">
      <c r="B526" s="1403"/>
      <c r="C526" s="1298"/>
      <c r="D526" s="1298"/>
      <c r="E526" s="1298"/>
      <c r="F526" s="1298"/>
      <c r="G526" s="1298"/>
      <c r="H526" s="1383"/>
      <c r="I526" t="s">
        <v>1438</v>
      </c>
      <c r="AC526" s="1386">
        <v>5</v>
      </c>
      <c r="AD526" s="1294"/>
      <c r="AE526" s="1294"/>
      <c r="AF526" s="1294"/>
      <c r="AG526" s="13" t="s">
        <v>1419</v>
      </c>
      <c r="AH526" s="1391">
        <v>2026</v>
      </c>
      <c r="AI526" s="1374"/>
      <c r="AJ526" s="1374"/>
      <c r="AK526" s="1375"/>
      <c r="BB526" s="3"/>
      <c r="BC526" s="3"/>
      <c r="BD526" s="3"/>
      <c r="BE526" s="3"/>
      <c r="BF526" s="3"/>
      <c r="BG526" s="3"/>
      <c r="BH526" s="3"/>
      <c r="BI526" s="3"/>
      <c r="BJ526" s="3"/>
      <c r="BK526" s="3"/>
      <c r="BL526" s="3"/>
      <c r="BM526" s="3"/>
      <c r="BN526" s="3" t="s">
        <v>1444</v>
      </c>
    </row>
    <row r="527" spans="2:66" ht="12.9" customHeight="1">
      <c r="B527" s="1404"/>
      <c r="C527" s="1405"/>
      <c r="D527" s="1405"/>
      <c r="E527" s="1405"/>
      <c r="F527" s="1405"/>
      <c r="G527" s="1405"/>
      <c r="H527" s="1296"/>
      <c r="I527" s="48" t="s">
        <v>1440</v>
      </c>
      <c r="J527" s="48"/>
      <c r="K527" s="48"/>
      <c r="L527" s="48"/>
      <c r="M527" s="48"/>
      <c r="N527" s="48"/>
      <c r="O527" s="48"/>
      <c r="P527" s="48"/>
      <c r="Q527" s="48"/>
      <c r="R527" s="48"/>
      <c r="S527" s="48"/>
      <c r="T527" s="48"/>
      <c r="U527" s="48"/>
      <c r="V527" s="48"/>
      <c r="W527" s="48"/>
      <c r="X527" s="48"/>
      <c r="Y527" s="48"/>
      <c r="Z527" s="48"/>
      <c r="AA527" s="48"/>
      <c r="AB527" s="48"/>
      <c r="AC527" s="1386">
        <v>12</v>
      </c>
      <c r="AD527" s="1294"/>
      <c r="AE527" s="1294"/>
      <c r="AF527" s="1294"/>
      <c r="AG527" s="38" t="s">
        <v>1419</v>
      </c>
      <c r="AH527" s="1391">
        <v>2026</v>
      </c>
      <c r="AI527" s="1374"/>
      <c r="AJ527" s="1374"/>
      <c r="AK527" s="1375"/>
      <c r="BB527" s="3"/>
      <c r="BC527" s="3"/>
      <c r="BD527" s="3"/>
      <c r="BE527" s="3"/>
      <c r="BF527" s="3"/>
      <c r="BG527" s="3"/>
      <c r="BH527" s="3"/>
      <c r="BI527" s="3"/>
      <c r="BJ527" s="3"/>
      <c r="BK527" s="3"/>
      <c r="BL527" s="3"/>
      <c r="BM527" s="3"/>
      <c r="BN527" s="3" t="s">
        <v>1445</v>
      </c>
    </row>
    <row r="528" spans="2:66" ht="12.9" customHeight="1">
      <c r="B528" s="1432" t="s">
        <v>1446</v>
      </c>
      <c r="C528" s="1417"/>
      <c r="D528" s="1417"/>
      <c r="E528" s="1417"/>
      <c r="F528" s="1417"/>
      <c r="G528" s="1417"/>
      <c r="H528" s="1423"/>
      <c r="I528" s="41" t="s">
        <v>1447</v>
      </c>
      <c r="J528" s="42"/>
      <c r="K528" s="42"/>
      <c r="L528" s="42"/>
      <c r="M528" s="42"/>
      <c r="N528" s="42"/>
      <c r="O528" s="1481" t="s">
        <v>2785</v>
      </c>
      <c r="P528" s="1294"/>
      <c r="Q528" s="1294"/>
      <c r="R528" s="1294"/>
      <c r="S528" s="1294"/>
      <c r="T528" s="1294"/>
      <c r="U528" s="1294"/>
      <c r="V528" s="1294"/>
      <c r="W528" s="1294"/>
      <c r="X528" s="1294"/>
      <c r="Y528" s="1294"/>
      <c r="Z528" s="1294"/>
      <c r="AA528" s="1294"/>
      <c r="AB528" s="58"/>
      <c r="AC528" s="1630" t="s">
        <v>935</v>
      </c>
      <c r="AD528" s="1374"/>
      <c r="AE528" s="1374"/>
      <c r="AF528" s="1374"/>
      <c r="AG528" s="129" t="s">
        <v>1419</v>
      </c>
      <c r="AH528" s="1391" t="s">
        <v>935</v>
      </c>
      <c r="AI528" s="1374"/>
      <c r="AJ528" s="1374"/>
      <c r="AK528" s="1375"/>
      <c r="AZ528" s="3"/>
      <c r="BB528" s="3"/>
      <c r="BC528" s="3"/>
      <c r="BD528" s="3"/>
      <c r="BE528" s="3"/>
      <c r="BF528" s="3"/>
      <c r="BG528" s="3"/>
      <c r="BH528" s="3"/>
      <c r="BI528" s="3"/>
      <c r="BJ528" s="3"/>
      <c r="BK528" s="3"/>
      <c r="BL528" s="3"/>
      <c r="BM528" s="3"/>
      <c r="BN528" s="3" t="s">
        <v>1448</v>
      </c>
    </row>
    <row r="529" spans="2:66" ht="12.9" customHeight="1">
      <c r="B529" s="1403"/>
      <c r="C529" s="1298"/>
      <c r="D529" s="1298"/>
      <c r="E529" s="1298"/>
      <c r="F529" s="1298"/>
      <c r="G529" s="1298"/>
      <c r="H529" s="1383"/>
      <c r="I529" s="114" t="s">
        <v>156</v>
      </c>
      <c r="AB529" s="65"/>
      <c r="AC529" s="1386">
        <v>5</v>
      </c>
      <c r="AD529" s="1294"/>
      <c r="AE529" s="1294"/>
      <c r="AF529" s="1294"/>
      <c r="AG529" s="13" t="s">
        <v>1419</v>
      </c>
      <c r="AH529" s="1391">
        <v>2026</v>
      </c>
      <c r="AI529" s="1374"/>
      <c r="AJ529" s="1374"/>
      <c r="AK529" s="1375"/>
      <c r="AZ529" s="3"/>
      <c r="BB529" s="3"/>
      <c r="BC529" s="3"/>
      <c r="BD529" s="3"/>
      <c r="BE529" s="3"/>
      <c r="BF529" s="3"/>
      <c r="BG529" s="3"/>
      <c r="BH529" s="3"/>
      <c r="BI529" s="3"/>
      <c r="BJ529" s="3"/>
      <c r="BK529" s="3"/>
      <c r="BL529" s="3"/>
      <c r="BM529" s="3"/>
      <c r="BN529" s="3" t="s">
        <v>1449</v>
      </c>
    </row>
    <row r="530" spans="2:66" ht="12.9" customHeight="1">
      <c r="B530" s="1403"/>
      <c r="C530" s="1298"/>
      <c r="D530" s="1298"/>
      <c r="E530" s="1298"/>
      <c r="F530" s="1298"/>
      <c r="G530" s="1298"/>
      <c r="H530" s="1383"/>
      <c r="I530" s="47" t="s">
        <v>1450</v>
      </c>
      <c r="J530" s="48"/>
      <c r="K530" s="48"/>
      <c r="L530" s="48"/>
      <c r="M530" s="48"/>
      <c r="N530" s="48"/>
      <c r="O530" s="48"/>
      <c r="P530" s="48"/>
      <c r="Q530" s="48"/>
      <c r="R530" s="48"/>
      <c r="S530" s="48"/>
      <c r="T530" s="48"/>
      <c r="U530" s="48"/>
      <c r="V530" s="48"/>
      <c r="W530" s="48"/>
      <c r="X530" s="48"/>
      <c r="Y530" s="48"/>
      <c r="Z530" s="48"/>
      <c r="AA530" s="48"/>
      <c r="AB530" s="49"/>
      <c r="AC530" s="1386">
        <v>7</v>
      </c>
      <c r="AD530" s="1294"/>
      <c r="AE530" s="1294"/>
      <c r="AF530" s="1294"/>
      <c r="AG530" s="38" t="s">
        <v>1419</v>
      </c>
      <c r="AH530" s="1391">
        <v>2026</v>
      </c>
      <c r="AI530" s="1374"/>
      <c r="AJ530" s="1374"/>
      <c r="AK530" s="1375"/>
      <c r="AZ530" s="3"/>
      <c r="BA530" s="3"/>
      <c r="BB530" s="3"/>
      <c r="BC530" s="3"/>
      <c r="BD530" s="3"/>
      <c r="BE530" s="3"/>
      <c r="BF530" s="3"/>
      <c r="BG530" s="3"/>
      <c r="BH530" s="3"/>
      <c r="BI530" s="3"/>
      <c r="BJ530" s="3"/>
      <c r="BK530" s="3"/>
      <c r="BL530" s="3"/>
      <c r="BM530" s="3"/>
      <c r="BN530" s="3" t="s">
        <v>1451</v>
      </c>
    </row>
    <row r="531" spans="2:66" ht="12.9" customHeight="1">
      <c r="B531" s="1403"/>
      <c r="C531" s="1298"/>
      <c r="D531" s="1298"/>
      <c r="E531" s="1298"/>
      <c r="F531" s="1298"/>
      <c r="G531" s="1298"/>
      <c r="H531" s="1383"/>
      <c r="I531" s="42" t="s">
        <v>1452</v>
      </c>
      <c r="J531" s="42"/>
      <c r="K531" s="42"/>
      <c r="L531" s="42"/>
      <c r="M531" s="42"/>
      <c r="N531" s="42"/>
      <c r="O531" s="1481" t="s">
        <v>2783</v>
      </c>
      <c r="P531" s="1294"/>
      <c r="Q531" s="1294"/>
      <c r="R531" s="1294"/>
      <c r="S531" s="1294"/>
      <c r="T531" s="1294"/>
      <c r="U531" s="1294"/>
      <c r="V531" s="1294"/>
      <c r="W531" s="1294"/>
      <c r="X531" s="1294"/>
      <c r="Y531" s="1294"/>
      <c r="Z531" s="1294"/>
      <c r="AA531" s="1294"/>
      <c r="AC531" s="1386" t="s">
        <v>935</v>
      </c>
      <c r="AD531" s="1294"/>
      <c r="AE531" s="1294"/>
      <c r="AF531" s="1294"/>
      <c r="AG531" s="13" t="s">
        <v>1419</v>
      </c>
      <c r="AH531" s="1391" t="s">
        <v>935</v>
      </c>
      <c r="AI531" s="1374"/>
      <c r="AJ531" s="1374"/>
      <c r="AK531" s="1375"/>
      <c r="AZ531" s="3"/>
      <c r="BA531" s="3"/>
      <c r="BB531" s="3"/>
      <c r="BC531" s="3"/>
      <c r="BD531" s="3"/>
      <c r="BE531" s="3"/>
      <c r="BF531" s="3"/>
      <c r="BG531" s="3"/>
      <c r="BH531" s="3"/>
      <c r="BI531" s="3"/>
      <c r="BJ531" s="3"/>
      <c r="BK531" s="3"/>
      <c r="BL531" s="3"/>
      <c r="BM531" s="3"/>
      <c r="BN531" s="3" t="s">
        <v>1453</v>
      </c>
    </row>
    <row r="532" spans="2:66" ht="12.9" customHeight="1">
      <c r="B532" s="1403"/>
      <c r="C532" s="1298"/>
      <c r="D532" s="1298"/>
      <c r="E532" s="1298"/>
      <c r="F532" s="1298"/>
      <c r="G532" s="1298"/>
      <c r="H532" s="1383"/>
      <c r="I532" t="s">
        <v>156</v>
      </c>
      <c r="AC532" s="1386">
        <v>5</v>
      </c>
      <c r="AD532" s="1294"/>
      <c r="AE532" s="1294"/>
      <c r="AF532" s="1294"/>
      <c r="AG532" s="13" t="s">
        <v>1419</v>
      </c>
      <c r="AH532" s="1391">
        <v>2026</v>
      </c>
      <c r="AI532" s="1374"/>
      <c r="AJ532" s="1374"/>
      <c r="AK532" s="1375"/>
      <c r="AZ532" s="3"/>
      <c r="BA532" s="3"/>
      <c r="BB532" s="3"/>
      <c r="BC532" s="3"/>
      <c r="BD532" s="3"/>
      <c r="BE532" s="3"/>
      <c r="BF532" s="3"/>
      <c r="BG532" s="3"/>
      <c r="BH532" s="3"/>
      <c r="BI532" s="3"/>
      <c r="BJ532" s="3"/>
      <c r="BK532" s="3"/>
      <c r="BL532" s="3"/>
      <c r="BM532" s="3"/>
      <c r="BN532" s="3" t="s">
        <v>1454</v>
      </c>
    </row>
    <row r="533" spans="2:66" ht="12.9" customHeight="1">
      <c r="B533" s="1403"/>
      <c r="C533" s="1298"/>
      <c r="D533" s="1298"/>
      <c r="E533" s="1298"/>
      <c r="F533" s="1298"/>
      <c r="G533" s="1298"/>
      <c r="H533" s="1383"/>
      <c r="I533" s="48" t="s">
        <v>1450</v>
      </c>
      <c r="J533" s="48"/>
      <c r="K533" s="48"/>
      <c r="L533" s="48"/>
      <c r="M533" s="48"/>
      <c r="N533" s="48"/>
      <c r="O533" s="48"/>
      <c r="P533" s="48"/>
      <c r="Q533" s="48"/>
      <c r="R533" s="48"/>
      <c r="S533" s="48"/>
      <c r="T533" s="48"/>
      <c r="U533" s="48"/>
      <c r="V533" s="48"/>
      <c r="W533" s="48"/>
      <c r="X533" s="48"/>
      <c r="Y533" s="48"/>
      <c r="Z533" s="48"/>
      <c r="AA533" s="48"/>
      <c r="AB533" s="48"/>
      <c r="AC533" s="1386">
        <v>7</v>
      </c>
      <c r="AD533" s="1294"/>
      <c r="AE533" s="1294"/>
      <c r="AF533" s="1294"/>
      <c r="AG533" s="38" t="s">
        <v>1419</v>
      </c>
      <c r="AH533" s="1391">
        <v>2026</v>
      </c>
      <c r="AI533" s="1374"/>
      <c r="AJ533" s="1374"/>
      <c r="AK533" s="1375"/>
      <c r="AZ533" s="3"/>
      <c r="BA533" s="3"/>
      <c r="BB533" s="3"/>
      <c r="BC533" s="3"/>
      <c r="BD533" s="3"/>
      <c r="BE533" s="3"/>
      <c r="BF533" s="3"/>
      <c r="BG533" s="3"/>
      <c r="BH533" s="3"/>
      <c r="BI533" s="3"/>
      <c r="BJ533" s="3"/>
      <c r="BK533" s="3"/>
      <c r="BL533" s="3"/>
      <c r="BM533" s="3"/>
      <c r="BN533" s="3" t="s">
        <v>1455</v>
      </c>
    </row>
    <row r="534" spans="2:66" ht="12.9" customHeight="1">
      <c r="B534" s="1403"/>
      <c r="C534" s="1298"/>
      <c r="D534" s="1298"/>
      <c r="E534" s="1298"/>
      <c r="F534" s="1298"/>
      <c r="G534" s="1298"/>
      <c r="H534" s="1383"/>
      <c r="I534" s="42" t="s">
        <v>1452</v>
      </c>
      <c r="J534" s="42"/>
      <c r="K534" s="42"/>
      <c r="L534" s="42"/>
      <c r="M534" s="42"/>
      <c r="N534" s="42"/>
      <c r="O534" s="1481" t="s">
        <v>2784</v>
      </c>
      <c r="P534" s="1294"/>
      <c r="Q534" s="1294"/>
      <c r="R534" s="1294"/>
      <c r="S534" s="1294"/>
      <c r="T534" s="1294"/>
      <c r="U534" s="1294"/>
      <c r="V534" s="1294"/>
      <c r="W534" s="1294"/>
      <c r="X534" s="1294"/>
      <c r="Y534" s="1294"/>
      <c r="Z534" s="1294"/>
      <c r="AA534" s="1294"/>
      <c r="AC534" s="1386" t="s">
        <v>935</v>
      </c>
      <c r="AD534" s="1294"/>
      <c r="AE534" s="1294"/>
      <c r="AF534" s="1294"/>
      <c r="AG534" s="13" t="s">
        <v>1419</v>
      </c>
      <c r="AH534" s="1391" t="s">
        <v>935</v>
      </c>
      <c r="AI534" s="1374"/>
      <c r="AJ534" s="1374"/>
      <c r="AK534" s="1375"/>
      <c r="AZ534" s="3"/>
      <c r="BA534" s="3"/>
      <c r="BB534" s="3"/>
      <c r="BC534" s="3"/>
      <c r="BD534" s="3"/>
      <c r="BE534" s="3"/>
      <c r="BF534" s="3"/>
      <c r="BG534" s="3"/>
      <c r="BH534" s="3"/>
      <c r="BI534" s="3"/>
      <c r="BJ534" s="3"/>
      <c r="BK534" s="3"/>
      <c r="BL534" s="3"/>
      <c r="BM534" s="3"/>
      <c r="BN534" s="3" t="s">
        <v>1456</v>
      </c>
    </row>
    <row r="535" spans="2:66" ht="12.9" customHeight="1">
      <c r="B535" s="1403"/>
      <c r="C535" s="1298"/>
      <c r="D535" s="1298"/>
      <c r="E535" s="1298"/>
      <c r="F535" s="1298"/>
      <c r="G535" s="1298"/>
      <c r="H535" s="1383"/>
      <c r="I535" t="s">
        <v>156</v>
      </c>
      <c r="AC535" s="1386">
        <v>5</v>
      </c>
      <c r="AD535" s="1294"/>
      <c r="AE535" s="1294"/>
      <c r="AF535" s="1294"/>
      <c r="AG535" s="13" t="s">
        <v>1419</v>
      </c>
      <c r="AH535" s="1391">
        <v>2026</v>
      </c>
      <c r="AI535" s="1374"/>
      <c r="AJ535" s="1374"/>
      <c r="AK535" s="1375"/>
      <c r="AZ535" s="3"/>
      <c r="BA535" s="3"/>
      <c r="BB535" s="3"/>
      <c r="BC535" s="3"/>
      <c r="BD535" s="3"/>
      <c r="BE535" s="3"/>
      <c r="BF535" s="3"/>
      <c r="BG535" s="3"/>
      <c r="BH535" s="3"/>
      <c r="BI535" s="3"/>
      <c r="BJ535" s="3"/>
      <c r="BK535" s="3"/>
      <c r="BL535" s="3"/>
      <c r="BM535" s="3"/>
      <c r="BN535" s="3" t="s">
        <v>1457</v>
      </c>
    </row>
    <row r="536" spans="2:66" ht="12.9" customHeight="1">
      <c r="B536" s="1403"/>
      <c r="C536" s="1298"/>
      <c r="D536" s="1298"/>
      <c r="E536" s="1298"/>
      <c r="F536" s="1298"/>
      <c r="G536" s="1298"/>
      <c r="H536" s="1383"/>
      <c r="I536" s="48" t="s">
        <v>1450</v>
      </c>
      <c r="J536" s="48"/>
      <c r="K536" s="48"/>
      <c r="L536" s="48"/>
      <c r="M536" s="48"/>
      <c r="N536" s="48"/>
      <c r="O536" s="48"/>
      <c r="P536" s="48"/>
      <c r="Q536" s="48"/>
      <c r="R536" s="48"/>
      <c r="S536" s="48"/>
      <c r="T536" s="48"/>
      <c r="U536" s="48"/>
      <c r="V536" s="48"/>
      <c r="W536" s="48"/>
      <c r="X536" s="48"/>
      <c r="Y536" s="48"/>
      <c r="Z536" s="48"/>
      <c r="AA536" s="48"/>
      <c r="AB536" s="48"/>
      <c r="AC536" s="1386">
        <v>7</v>
      </c>
      <c r="AD536" s="1294"/>
      <c r="AE536" s="1294"/>
      <c r="AF536" s="1294"/>
      <c r="AG536" s="38" t="s">
        <v>1419</v>
      </c>
      <c r="AH536" s="1391">
        <v>2026</v>
      </c>
      <c r="AI536" s="1374"/>
      <c r="AJ536" s="1374"/>
      <c r="AK536" s="1375"/>
      <c r="AZ536" s="3"/>
      <c r="BA536" s="3"/>
      <c r="BB536" s="3"/>
      <c r="BC536" s="3"/>
      <c r="BD536" s="3"/>
      <c r="BE536" s="3"/>
      <c r="BF536" s="3"/>
      <c r="BG536" s="3"/>
      <c r="BH536" s="3"/>
      <c r="BI536" s="3"/>
      <c r="BJ536" s="3"/>
      <c r="BK536" s="3"/>
      <c r="BL536" s="3"/>
      <c r="BM536" s="3"/>
      <c r="BN536" s="3" t="s">
        <v>1458</v>
      </c>
    </row>
    <row r="537" spans="2:66" ht="12.9" customHeight="1">
      <c r="B537" s="1403"/>
      <c r="C537" s="1298"/>
      <c r="D537" s="1298"/>
      <c r="E537" s="1298"/>
      <c r="F537" s="1298"/>
      <c r="G537" s="1298"/>
      <c r="H537" s="1383"/>
      <c r="I537" s="42" t="s">
        <v>1452</v>
      </c>
      <c r="J537" s="42"/>
      <c r="K537" s="42"/>
      <c r="L537" s="42"/>
      <c r="M537" s="42"/>
      <c r="N537" s="42"/>
      <c r="O537" s="1481" t="s">
        <v>1353</v>
      </c>
      <c r="P537" s="1294"/>
      <c r="Q537" s="1294"/>
      <c r="R537" s="1294"/>
      <c r="S537" s="1294"/>
      <c r="T537" s="1294"/>
      <c r="U537" s="1294"/>
      <c r="V537" s="1294"/>
      <c r="W537" s="1294"/>
      <c r="X537" s="1294"/>
      <c r="Y537" s="1294"/>
      <c r="Z537" s="1294"/>
      <c r="AA537" s="1294"/>
      <c r="AC537" s="1386" t="s">
        <v>935</v>
      </c>
      <c r="AD537" s="1294"/>
      <c r="AE537" s="1294"/>
      <c r="AF537" s="1294"/>
      <c r="AG537" s="13" t="s">
        <v>1419</v>
      </c>
      <c r="AH537" s="1391" t="s">
        <v>935</v>
      </c>
      <c r="AI537" s="1374"/>
      <c r="AJ537" s="1374"/>
      <c r="AK537" s="1375"/>
      <c r="AZ537" s="3"/>
      <c r="BA537" s="3"/>
      <c r="BB537" s="3"/>
      <c r="BC537" s="3"/>
      <c r="BD537" s="3"/>
      <c r="BE537" s="3"/>
      <c r="BF537" s="3"/>
      <c r="BG537" s="3"/>
      <c r="BH537" s="3"/>
      <c r="BI537" s="3"/>
      <c r="BJ537" s="3"/>
      <c r="BK537" s="3"/>
      <c r="BL537" s="3"/>
      <c r="BM537" s="3"/>
      <c r="BN537" s="3" t="s">
        <v>1459</v>
      </c>
    </row>
    <row r="538" spans="2:66" ht="12.9" customHeight="1">
      <c r="B538" s="1403"/>
      <c r="C538" s="1298"/>
      <c r="D538" s="1298"/>
      <c r="E538" s="1298"/>
      <c r="F538" s="1298"/>
      <c r="G538" s="1298"/>
      <c r="H538" s="1383"/>
      <c r="I538" t="s">
        <v>156</v>
      </c>
      <c r="AC538" s="1386" t="s">
        <v>935</v>
      </c>
      <c r="AD538" s="1294"/>
      <c r="AE538" s="1294"/>
      <c r="AF538" s="1294"/>
      <c r="AG538" s="13" t="s">
        <v>1419</v>
      </c>
      <c r="AH538" s="1391" t="s">
        <v>935</v>
      </c>
      <c r="AI538" s="1374"/>
      <c r="AJ538" s="1374"/>
      <c r="AK538" s="1375"/>
      <c r="AZ538" s="3"/>
      <c r="BA538" s="3"/>
      <c r="BB538" s="3"/>
      <c r="BC538" s="3"/>
      <c r="BD538" s="3"/>
      <c r="BE538" s="3"/>
      <c r="BF538" s="3"/>
      <c r="BG538" s="3"/>
      <c r="BH538" s="3"/>
      <c r="BI538" s="3"/>
      <c r="BJ538" s="3"/>
      <c r="BK538" s="3"/>
      <c r="BL538" s="3"/>
      <c r="BM538" s="3"/>
      <c r="BN538" s="3" t="s">
        <v>1460</v>
      </c>
    </row>
    <row r="539" spans="2:66" ht="12.9" customHeight="1">
      <c r="B539" s="1403"/>
      <c r="C539" s="1298"/>
      <c r="D539" s="1298"/>
      <c r="E539" s="1298"/>
      <c r="F539" s="1298"/>
      <c r="G539" s="1298"/>
      <c r="H539" s="1383"/>
      <c r="I539" s="48" t="s">
        <v>1450</v>
      </c>
      <c r="J539" s="48"/>
      <c r="K539" s="48"/>
      <c r="L539" s="48"/>
      <c r="M539" s="48"/>
      <c r="N539" s="48"/>
      <c r="O539" s="48"/>
      <c r="P539" s="48"/>
      <c r="Q539" s="48"/>
      <c r="R539" s="48"/>
      <c r="S539" s="48"/>
      <c r="T539" s="48"/>
      <c r="U539" s="48"/>
      <c r="V539" s="48"/>
      <c r="W539" s="48"/>
      <c r="X539" s="48"/>
      <c r="Y539" s="48"/>
      <c r="Z539" s="48"/>
      <c r="AA539" s="48"/>
      <c r="AB539" s="48"/>
      <c r="AC539" s="1386" t="s">
        <v>935</v>
      </c>
      <c r="AD539" s="1294"/>
      <c r="AE539" s="1294"/>
      <c r="AF539" s="1294"/>
      <c r="AG539" s="38" t="s">
        <v>1419</v>
      </c>
      <c r="AH539" s="1391" t="s">
        <v>935</v>
      </c>
      <c r="AI539" s="1374"/>
      <c r="AJ539" s="1374"/>
      <c r="AK539" s="1375"/>
      <c r="AZ539" s="3"/>
      <c r="BA539" s="3"/>
      <c r="BB539" s="3"/>
      <c r="BC539" s="3"/>
      <c r="BD539" s="3"/>
      <c r="BE539" s="3"/>
      <c r="BF539" s="3"/>
      <c r="BG539" s="3"/>
      <c r="BH539" s="3"/>
      <c r="BI539" s="3"/>
      <c r="BJ539" s="3"/>
      <c r="BK539" s="3"/>
      <c r="BL539" s="3"/>
      <c r="BM539" s="3"/>
      <c r="BN539" s="3" t="s">
        <v>1461</v>
      </c>
    </row>
    <row r="540" spans="2:66" ht="12.9" customHeight="1">
      <c r="B540" s="1403"/>
      <c r="C540" s="1298"/>
      <c r="D540" s="1298"/>
      <c r="E540" s="1298"/>
      <c r="F540" s="1298"/>
      <c r="G540" s="1298"/>
      <c r="H540" s="1383"/>
      <c r="I540" s="42" t="s">
        <v>1452</v>
      </c>
      <c r="J540" s="42"/>
      <c r="K540" s="42"/>
      <c r="L540" s="42"/>
      <c r="M540" s="42"/>
      <c r="N540" s="42"/>
      <c r="O540" s="1481" t="s">
        <v>1353</v>
      </c>
      <c r="P540" s="1294"/>
      <c r="Q540" s="1294"/>
      <c r="R540" s="1294"/>
      <c r="S540" s="1294"/>
      <c r="T540" s="1294"/>
      <c r="U540" s="1294"/>
      <c r="V540" s="1294"/>
      <c r="W540" s="1294"/>
      <c r="X540" s="1294"/>
      <c r="Y540" s="1294"/>
      <c r="Z540" s="1294"/>
      <c r="AA540" s="1294"/>
      <c r="AC540" s="1386" t="s">
        <v>935</v>
      </c>
      <c r="AD540" s="1294"/>
      <c r="AE540" s="1294"/>
      <c r="AF540" s="1294"/>
      <c r="AG540" s="13" t="s">
        <v>1419</v>
      </c>
      <c r="AH540" s="1391" t="s">
        <v>935</v>
      </c>
      <c r="AI540" s="1374"/>
      <c r="AJ540" s="1374"/>
      <c r="AK540" s="1375"/>
      <c r="AZ540" s="3"/>
      <c r="BA540" s="3"/>
      <c r="BB540" s="3"/>
      <c r="BC540" s="3"/>
      <c r="BD540" s="3"/>
      <c r="BE540" s="3"/>
      <c r="BF540" s="3"/>
      <c r="BG540" s="3"/>
      <c r="BH540" s="3"/>
      <c r="BI540" s="3"/>
      <c r="BJ540" s="3"/>
      <c r="BK540" s="3"/>
      <c r="BL540" s="3"/>
      <c r="BM540" s="3"/>
      <c r="BN540" s="3" t="s">
        <v>1462</v>
      </c>
    </row>
    <row r="541" spans="2:66" ht="12.9" customHeight="1">
      <c r="B541" s="1403"/>
      <c r="C541" s="1298"/>
      <c r="D541" s="1298"/>
      <c r="E541" s="1298"/>
      <c r="F541" s="1298"/>
      <c r="G541" s="1298"/>
      <c r="H541" s="1383"/>
      <c r="I541" t="s">
        <v>156</v>
      </c>
      <c r="AC541" s="1386" t="s">
        <v>935</v>
      </c>
      <c r="AD541" s="1294"/>
      <c r="AE541" s="1294"/>
      <c r="AF541" s="1294"/>
      <c r="AG541" s="38" t="s">
        <v>1419</v>
      </c>
      <c r="AH541" s="1391" t="s">
        <v>935</v>
      </c>
      <c r="AI541" s="1374"/>
      <c r="AJ541" s="1374"/>
      <c r="AK541" s="1375"/>
      <c r="AZ541" s="3"/>
      <c r="BA541" s="3"/>
      <c r="BB541" s="3"/>
      <c r="BC541" s="3"/>
      <c r="BD541" s="3"/>
      <c r="BE541" s="3"/>
      <c r="BF541" s="3"/>
      <c r="BG541" s="3"/>
      <c r="BH541" s="3"/>
      <c r="BI541" s="3"/>
      <c r="BJ541" s="3"/>
      <c r="BK541" s="3"/>
      <c r="BL541" s="3"/>
      <c r="BM541" s="3"/>
      <c r="BN541" s="3" t="s">
        <v>1463</v>
      </c>
    </row>
    <row r="542" spans="2:66" ht="12.9" customHeight="1">
      <c r="B542" s="1403"/>
      <c r="C542" s="1298"/>
      <c r="D542" s="1298"/>
      <c r="E542" s="1298"/>
      <c r="F542" s="1298"/>
      <c r="G542" s="1298"/>
      <c r="H542" s="1383"/>
      <c r="I542" s="48" t="s">
        <v>1450</v>
      </c>
      <c r="J542" s="48"/>
      <c r="K542" s="48"/>
      <c r="L542" s="48"/>
      <c r="M542" s="48"/>
      <c r="N542" s="48"/>
      <c r="O542" s="48"/>
      <c r="P542" s="48"/>
      <c r="Q542" s="48"/>
      <c r="R542" s="48"/>
      <c r="S542" s="48"/>
      <c r="T542" s="48"/>
      <c r="U542" s="48"/>
      <c r="V542" s="48"/>
      <c r="W542" s="48"/>
      <c r="X542" s="48"/>
      <c r="Y542" s="48"/>
      <c r="Z542" s="48"/>
      <c r="AA542" s="48"/>
      <c r="AB542" s="48"/>
      <c r="AC542" s="1386" t="s">
        <v>935</v>
      </c>
      <c r="AD542" s="1294"/>
      <c r="AE542" s="1294"/>
      <c r="AF542" s="1294"/>
      <c r="AG542" s="13" t="s">
        <v>1419</v>
      </c>
      <c r="AH542" s="1391" t="s">
        <v>935</v>
      </c>
      <c r="AI542" s="1374"/>
      <c r="AJ542" s="1374"/>
      <c r="AK542" s="1375"/>
      <c r="AZ542" s="3"/>
      <c r="BA542" s="3"/>
      <c r="BB542" s="3"/>
      <c r="BC542" s="3"/>
      <c r="BD542" s="3"/>
      <c r="BE542" s="3"/>
      <c r="BF542" s="3"/>
      <c r="BG542" s="3"/>
      <c r="BH542" s="3"/>
      <c r="BI542" s="3"/>
      <c r="BJ542" s="3"/>
      <c r="BK542" s="3"/>
      <c r="BL542" s="3"/>
      <c r="BM542" s="3"/>
      <c r="BN542" s="3" t="s">
        <v>1464</v>
      </c>
    </row>
    <row r="543" spans="2:66" ht="12.9" customHeight="1">
      <c r="B543" s="1403"/>
      <c r="C543" s="1298"/>
      <c r="D543" s="1298"/>
      <c r="E543" s="1298"/>
      <c r="F543" s="1298"/>
      <c r="G543" s="1298"/>
      <c r="H543" s="1383"/>
      <c r="I543" s="42" t="s">
        <v>1452</v>
      </c>
      <c r="J543" s="42"/>
      <c r="K543" s="42"/>
      <c r="L543" s="42"/>
      <c r="M543" s="42"/>
      <c r="N543" s="42"/>
      <c r="O543" s="1481" t="s">
        <v>1353</v>
      </c>
      <c r="P543" s="1294"/>
      <c r="Q543" s="1294"/>
      <c r="R543" s="1294"/>
      <c r="S543" s="1294"/>
      <c r="T543" s="1294"/>
      <c r="U543" s="1294"/>
      <c r="V543" s="1294"/>
      <c r="W543" s="1294"/>
      <c r="X543" s="1294"/>
      <c r="Y543" s="1294"/>
      <c r="Z543" s="1294"/>
      <c r="AA543" s="1294"/>
      <c r="AC543" s="1386" t="s">
        <v>935</v>
      </c>
      <c r="AD543" s="1294"/>
      <c r="AE543" s="1294"/>
      <c r="AF543" s="1294"/>
      <c r="AG543" s="38" t="s">
        <v>1419</v>
      </c>
      <c r="AH543" s="1391" t="s">
        <v>935</v>
      </c>
      <c r="AI543" s="1374"/>
      <c r="AJ543" s="1374"/>
      <c r="AK543" s="1375"/>
      <c r="AZ543" s="3"/>
      <c r="BA543" s="3"/>
      <c r="BB543" s="3"/>
      <c r="BC543" s="3"/>
      <c r="BD543" s="3"/>
      <c r="BE543" s="3"/>
      <c r="BF543" s="3"/>
      <c r="BG543" s="3"/>
      <c r="BH543" s="3"/>
      <c r="BI543" s="3"/>
      <c r="BJ543" s="3"/>
      <c r="BK543" s="3"/>
      <c r="BL543" s="3"/>
      <c r="BM543" s="3"/>
      <c r="BN543" s="3" t="s">
        <v>1465</v>
      </c>
    </row>
    <row r="544" spans="2:66" ht="12.9" customHeight="1">
      <c r="B544" s="1403"/>
      <c r="C544" s="1298"/>
      <c r="D544" s="1298"/>
      <c r="E544" s="1298"/>
      <c r="F544" s="1298"/>
      <c r="G544" s="1298"/>
      <c r="H544" s="1383"/>
      <c r="I544" t="s">
        <v>156</v>
      </c>
      <c r="AC544" s="1386" t="s">
        <v>935</v>
      </c>
      <c r="AD544" s="1294"/>
      <c r="AE544" s="1294"/>
      <c r="AF544" s="1294"/>
      <c r="AG544" s="13" t="s">
        <v>1419</v>
      </c>
      <c r="AH544" s="1391" t="s">
        <v>935</v>
      </c>
      <c r="AI544" s="1374"/>
      <c r="AJ544" s="1374"/>
      <c r="AK544" s="1375"/>
      <c r="AZ544" s="3"/>
      <c r="BA544" s="3"/>
      <c r="BB544" s="3"/>
      <c r="BC544" s="3"/>
      <c r="BD544" s="3"/>
      <c r="BE544" s="3"/>
      <c r="BF544" s="3"/>
      <c r="BG544" s="3"/>
      <c r="BH544" s="3"/>
      <c r="BI544" s="3"/>
      <c r="BJ544" s="3"/>
      <c r="BK544" s="3"/>
      <c r="BL544" s="3"/>
      <c r="BM544" s="3"/>
      <c r="BN544" s="3" t="s">
        <v>1466</v>
      </c>
    </row>
    <row r="545" spans="1:66" ht="12.9" customHeight="1">
      <c r="B545" s="1403"/>
      <c r="C545" s="1298"/>
      <c r="D545" s="1298"/>
      <c r="E545" s="1298"/>
      <c r="F545" s="1298"/>
      <c r="G545" s="1298"/>
      <c r="H545" s="1383"/>
      <c r="I545" s="48" t="s">
        <v>1450</v>
      </c>
      <c r="J545" s="48"/>
      <c r="K545" s="48"/>
      <c r="L545" s="48"/>
      <c r="M545" s="48"/>
      <c r="N545" s="48"/>
      <c r="O545" s="48"/>
      <c r="P545" s="48"/>
      <c r="Q545" s="48"/>
      <c r="R545" s="48"/>
      <c r="S545" s="48"/>
      <c r="T545" s="48"/>
      <c r="U545" s="48"/>
      <c r="V545" s="48"/>
      <c r="W545" s="48"/>
      <c r="X545" s="48"/>
      <c r="Y545" s="48"/>
      <c r="Z545" s="48"/>
      <c r="AA545" s="48"/>
      <c r="AB545" s="48"/>
      <c r="AC545" s="1386" t="s">
        <v>935</v>
      </c>
      <c r="AD545" s="1294"/>
      <c r="AE545" s="1294"/>
      <c r="AF545" s="1294"/>
      <c r="AG545" s="38" t="s">
        <v>1419</v>
      </c>
      <c r="AH545" s="1391" t="s">
        <v>935</v>
      </c>
      <c r="AI545" s="1374"/>
      <c r="AJ545" s="1374"/>
      <c r="AK545" s="1375"/>
      <c r="AZ545" s="3"/>
      <c r="BA545" s="3"/>
      <c r="BB545" s="3"/>
      <c r="BC545" s="3"/>
      <c r="BD545" s="3"/>
      <c r="BE545" s="3"/>
      <c r="BF545" s="3"/>
      <c r="BG545" s="3"/>
      <c r="BH545" s="3"/>
      <c r="BI545" s="3"/>
      <c r="BJ545" s="3"/>
      <c r="BK545" s="3"/>
      <c r="BL545" s="3"/>
      <c r="BM545" s="3"/>
      <c r="BN545" s="3" t="s">
        <v>1467</v>
      </c>
    </row>
    <row r="546" spans="1:66" ht="12.9" customHeight="1">
      <c r="B546" s="1403"/>
      <c r="C546" s="1298"/>
      <c r="D546" s="1298"/>
      <c r="E546" s="1298"/>
      <c r="F546" s="1298"/>
      <c r="G546" s="1298"/>
      <c r="H546" s="1383"/>
      <c r="I546" s="42" t="s">
        <v>1468</v>
      </c>
      <c r="J546" s="42"/>
      <c r="K546" s="42"/>
      <c r="L546" s="42"/>
      <c r="M546" s="42"/>
      <c r="N546" s="42"/>
      <c r="O546" s="42"/>
      <c r="P546" s="42"/>
      <c r="Q546" s="42"/>
      <c r="R546" s="42"/>
      <c r="S546" s="42"/>
      <c r="T546" s="42"/>
      <c r="U546" s="42"/>
      <c r="V546" s="42"/>
      <c r="W546" s="42"/>
      <c r="AC546" s="1386">
        <v>12</v>
      </c>
      <c r="AD546" s="1294"/>
      <c r="AE546" s="1294"/>
      <c r="AF546" s="1294"/>
      <c r="AG546" s="38" t="s">
        <v>1419</v>
      </c>
      <c r="AH546" s="1391">
        <v>2026</v>
      </c>
      <c r="AI546" s="1374"/>
      <c r="AJ546" s="1374"/>
      <c r="AK546" s="1375"/>
      <c r="AZ546" s="3"/>
      <c r="BA546" s="3"/>
      <c r="BB546" s="3"/>
      <c r="BC546" s="3"/>
      <c r="BD546" s="3"/>
      <c r="BE546" s="3"/>
      <c r="BF546" s="3"/>
      <c r="BG546" s="3"/>
      <c r="BH546" s="3"/>
      <c r="BI546" s="3"/>
      <c r="BJ546" s="3"/>
      <c r="BK546" s="3"/>
      <c r="BL546" s="3"/>
      <c r="BM546" s="3"/>
      <c r="BN546" s="3"/>
    </row>
    <row r="547" spans="1:66" ht="12.9" customHeight="1">
      <c r="B547" s="1403"/>
      <c r="C547" s="1298"/>
      <c r="D547" s="1298"/>
      <c r="E547" s="1298"/>
      <c r="F547" s="1298"/>
      <c r="G547" s="1298"/>
      <c r="H547" s="1383"/>
      <c r="I547" t="s">
        <v>1469</v>
      </c>
      <c r="AC547" s="1386">
        <v>1</v>
      </c>
      <c r="AD547" s="1294"/>
      <c r="AE547" s="1294"/>
      <c r="AF547" s="1294"/>
      <c r="AG547" s="13" t="s">
        <v>1419</v>
      </c>
      <c r="AH547" s="1391">
        <v>2027</v>
      </c>
      <c r="AI547" s="1374"/>
      <c r="AJ547" s="1374"/>
      <c r="AK547" s="1375"/>
      <c r="AZ547" s="3"/>
      <c r="BA547" s="3"/>
      <c r="BB547" s="3"/>
      <c r="BC547" s="3"/>
      <c r="BD547" s="3"/>
      <c r="BE547" s="3"/>
      <c r="BF547" s="3"/>
      <c r="BG547" s="3"/>
      <c r="BH547" s="3"/>
      <c r="BI547" s="3"/>
      <c r="BJ547" s="3"/>
      <c r="BK547" s="3"/>
      <c r="BL547" s="3"/>
      <c r="BM547" s="3"/>
      <c r="BN547" s="3"/>
    </row>
    <row r="548" spans="1:66" ht="12.9" customHeight="1">
      <c r="B548" s="1403"/>
      <c r="C548" s="1298"/>
      <c r="D548" s="1298"/>
      <c r="E548" s="1298"/>
      <c r="F548" s="1298"/>
      <c r="G548" s="1298"/>
      <c r="H548" s="1383"/>
      <c r="I548" t="s">
        <v>1470</v>
      </c>
      <c r="AC548" s="1386">
        <v>12</v>
      </c>
      <c r="AD548" s="1294"/>
      <c r="AE548" s="1294"/>
      <c r="AF548" s="1294"/>
      <c r="AG548" s="38" t="s">
        <v>1419</v>
      </c>
      <c r="AH548" s="1391">
        <v>2027</v>
      </c>
      <c r="AI548" s="1374"/>
      <c r="AJ548" s="1374"/>
      <c r="AK548" s="1375"/>
      <c r="AZ548" s="3"/>
      <c r="BA548" s="3"/>
      <c r="BB548" s="3"/>
      <c r="BC548" s="3"/>
      <c r="BD548" s="3"/>
      <c r="BE548" s="3"/>
      <c r="BF548" s="3"/>
      <c r="BG548" s="3"/>
      <c r="BH548" s="3"/>
      <c r="BI548" s="3"/>
      <c r="BJ548" s="3"/>
      <c r="BK548" s="3"/>
      <c r="BL548" s="3"/>
      <c r="BM548" s="3"/>
      <c r="BN548" s="3"/>
    </row>
    <row r="549" spans="1:66" ht="12.9" customHeight="1">
      <c r="B549" s="1403"/>
      <c r="C549" s="1298"/>
      <c r="D549" s="1298"/>
      <c r="E549" s="1298"/>
      <c r="F549" s="1298"/>
      <c r="G549" s="1298"/>
      <c r="H549" s="1383"/>
      <c r="I549" t="s">
        <v>1471</v>
      </c>
      <c r="AC549" s="1386">
        <v>12</v>
      </c>
      <c r="AD549" s="1294"/>
      <c r="AE549" s="1294"/>
      <c r="AF549" s="1294"/>
      <c r="AG549" s="38" t="s">
        <v>1419</v>
      </c>
      <c r="AH549" s="1391">
        <v>2026</v>
      </c>
      <c r="AI549" s="1374"/>
      <c r="AJ549" s="1374"/>
      <c r="AK549" s="1375"/>
      <c r="AZ549" s="3"/>
      <c r="BA549" s="3"/>
      <c r="BB549" s="3"/>
      <c r="BC549" s="3"/>
      <c r="BD549" s="3"/>
      <c r="BE549" s="3"/>
      <c r="BF549" s="3"/>
      <c r="BG549" s="3"/>
      <c r="BH549" s="3"/>
      <c r="BI549" s="3"/>
      <c r="BJ549" s="3"/>
      <c r="BK549" s="3"/>
      <c r="BL549" s="3"/>
      <c r="BM549" s="3"/>
      <c r="BN549" s="3"/>
    </row>
    <row r="550" spans="1:66" ht="12.9" customHeight="1">
      <c r="B550" s="1404"/>
      <c r="C550" s="1405"/>
      <c r="D550" s="1405"/>
      <c r="E550" s="1405"/>
      <c r="F550" s="1405"/>
      <c r="G550" s="1405"/>
      <c r="H550" s="1296"/>
      <c r="I550" s="48" t="s">
        <v>1472</v>
      </c>
      <c r="J550" s="48"/>
      <c r="K550" s="48"/>
      <c r="L550" s="48"/>
      <c r="M550" s="48"/>
      <c r="N550" s="48"/>
      <c r="O550" s="48"/>
      <c r="P550" s="48"/>
      <c r="Q550" s="48"/>
      <c r="R550" s="48"/>
      <c r="S550" s="48"/>
      <c r="T550" s="48"/>
      <c r="U550" s="48"/>
      <c r="V550" s="48"/>
      <c r="W550" s="48"/>
      <c r="X550" s="48"/>
      <c r="Y550" s="48"/>
      <c r="Z550" s="48"/>
      <c r="AA550" s="48"/>
      <c r="AB550" s="48"/>
      <c r="AC550" s="1386">
        <v>12</v>
      </c>
      <c r="AD550" s="1294"/>
      <c r="AE550" s="1294"/>
      <c r="AF550" s="1294"/>
      <c r="AG550" s="38" t="s">
        <v>1419</v>
      </c>
      <c r="AH550" s="1391">
        <v>2026</v>
      </c>
      <c r="AI550" s="1374"/>
      <c r="AJ550" s="1374"/>
      <c r="AK550" s="1375"/>
      <c r="BB550" s="3"/>
      <c r="BC550" s="3"/>
      <c r="BD550" s="3"/>
      <c r="BE550" s="3"/>
      <c r="BF550" s="3"/>
      <c r="BG550" s="3"/>
      <c r="BH550" s="3" t="s">
        <v>130</v>
      </c>
      <c r="BI550" s="3" t="str">
        <f>N657</f>
        <v>Yes</v>
      </c>
      <c r="BJ550" s="3"/>
      <c r="BK550" s="3"/>
      <c r="BL550" s="3"/>
      <c r="BM550" s="3"/>
      <c r="BN550" s="3"/>
    </row>
    <row r="551" spans="1:66" ht="12.9" customHeight="1">
      <c r="B551" s="532"/>
      <c r="C551" s="130"/>
      <c r="D551" s="130"/>
      <c r="E551" s="130"/>
      <c r="F551" s="130"/>
      <c r="G551" s="130"/>
      <c r="H551" s="130"/>
      <c r="AB551" s="130"/>
      <c r="AU551" s="895"/>
      <c r="AV551" s="895"/>
      <c r="AW551" s="895"/>
      <c r="AX551" s="895"/>
      <c r="AY551" s="895"/>
      <c r="BB551" s="3"/>
      <c r="BC551" s="3"/>
      <c r="BD551" s="3"/>
      <c r="BE551" s="3"/>
      <c r="BF551" s="3"/>
      <c r="BG551" s="3"/>
      <c r="BH551" s="3" t="s">
        <v>143</v>
      </c>
      <c r="BI551" s="3" t="str">
        <f>AG657</f>
        <v>Yes</v>
      </c>
      <c r="BJ551" s="3"/>
      <c r="BK551" s="3"/>
      <c r="BL551" s="3"/>
      <c r="BM551" s="3"/>
      <c r="BN551" s="3"/>
    </row>
    <row r="552" spans="1:66" ht="12.9" customHeight="1">
      <c r="A552" s="1408" t="s">
        <v>1473</v>
      </c>
      <c r="B552" s="1298"/>
      <c r="C552" s="1298"/>
      <c r="D552" s="1298"/>
      <c r="E552" s="1298"/>
      <c r="F552" s="1298"/>
      <c r="G552" s="1298"/>
      <c r="H552" s="1298"/>
      <c r="I552" s="1298"/>
      <c r="J552" s="1298"/>
      <c r="K552" s="1298"/>
      <c r="L552" s="1298"/>
      <c r="M552" s="1298"/>
      <c r="N552" s="1298"/>
      <c r="O552" s="1298"/>
      <c r="P552" s="1298"/>
      <c r="Q552" s="1298"/>
      <c r="R552" s="1298"/>
      <c r="S552" s="1298"/>
      <c r="T552" s="1298"/>
      <c r="U552" s="1298"/>
      <c r="V552" s="1298"/>
      <c r="W552" s="1298"/>
      <c r="X552" s="1298"/>
      <c r="Y552" s="1298"/>
      <c r="Z552" s="1298"/>
      <c r="AA552" s="1298"/>
      <c r="AB552" s="1298"/>
      <c r="AC552" s="1298"/>
      <c r="AD552" s="1298"/>
      <c r="AE552" s="1298"/>
      <c r="AF552" s="1298"/>
      <c r="AG552" s="1298"/>
      <c r="AH552" s="1298"/>
      <c r="AI552" s="1298"/>
      <c r="AJ552" s="1298"/>
      <c r="AK552" s="1298"/>
      <c r="AL552" s="1298"/>
      <c r="AM552" s="1298"/>
      <c r="AN552" s="1298"/>
      <c r="AO552" s="1298"/>
      <c r="AP552" s="1298"/>
      <c r="AQ552" s="1298"/>
      <c r="AR552" s="1298"/>
      <c r="AS552" s="1298"/>
      <c r="AT552" s="1298"/>
      <c r="AU552" s="895"/>
      <c r="AV552" s="895"/>
      <c r="AW552" s="895"/>
      <c r="AX552" s="895"/>
      <c r="AY552" s="895"/>
      <c r="BB552" s="3"/>
      <c r="BC552" s="3"/>
      <c r="BD552" s="3"/>
      <c r="BE552" s="3"/>
      <c r="BF552" s="3"/>
      <c r="BG552" s="3"/>
      <c r="BH552" s="3"/>
      <c r="BI552" s="3"/>
      <c r="BJ552" s="3"/>
      <c r="BK552" s="3"/>
      <c r="BL552" s="3"/>
      <c r="BM552" s="3"/>
      <c r="BN552" s="3"/>
    </row>
    <row r="553" spans="1:66" ht="12.9" customHeight="1">
      <c r="A553" s="1298"/>
      <c r="B553" s="1298"/>
      <c r="C553" s="1298"/>
      <c r="D553" s="1298"/>
      <c r="E553" s="1298"/>
      <c r="F553" s="1298"/>
      <c r="G553" s="1298"/>
      <c r="H553" s="1298"/>
      <c r="I553" s="1298"/>
      <c r="J553" s="1298"/>
      <c r="K553" s="1298"/>
      <c r="L553" s="1298"/>
      <c r="M553" s="1298"/>
      <c r="N553" s="1298"/>
      <c r="O553" s="1298"/>
      <c r="P553" s="1298"/>
      <c r="Q553" s="1298"/>
      <c r="R553" s="1298"/>
      <c r="S553" s="1298"/>
      <c r="T553" s="1298"/>
      <c r="U553" s="1298"/>
      <c r="V553" s="1298"/>
      <c r="W553" s="1298"/>
      <c r="X553" s="1298"/>
      <c r="Y553" s="1298"/>
      <c r="Z553" s="1298"/>
      <c r="AA553" s="1298"/>
      <c r="AB553" s="1298"/>
      <c r="AC553" s="1298"/>
      <c r="AD553" s="1298"/>
      <c r="AE553" s="1298"/>
      <c r="AF553" s="1298"/>
      <c r="AG553" s="1298"/>
      <c r="AH553" s="1298"/>
      <c r="AI553" s="1298"/>
      <c r="AJ553" s="1298"/>
      <c r="AK553" s="1298"/>
      <c r="AL553" s="1298"/>
      <c r="AM553" s="1298"/>
      <c r="AN553" s="1298"/>
      <c r="AO553" s="1298"/>
      <c r="AP553" s="1298"/>
      <c r="AQ553" s="1298"/>
      <c r="AR553" s="1298"/>
      <c r="AS553" s="1298"/>
      <c r="AT553" s="1298"/>
      <c r="BB553" s="3"/>
      <c r="BC553" s="3"/>
      <c r="BD553" s="3"/>
      <c r="BE553" s="3"/>
      <c r="BF553" s="3"/>
      <c r="BG553" s="3"/>
      <c r="BH553" s="3"/>
      <c r="BI553" s="3"/>
    </row>
    <row r="554" spans="1:66" ht="12.9" customHeight="1">
      <c r="BB554" s="3"/>
      <c r="BC554" s="3"/>
      <c r="BD554" s="3"/>
      <c r="BE554" s="3"/>
      <c r="BF554" s="3"/>
      <c r="BG554" s="3"/>
      <c r="BH554" s="3"/>
      <c r="BI554" s="3"/>
    </row>
    <row r="555" spans="1:66" ht="12.9" customHeight="1">
      <c r="A555" s="2" t="s">
        <v>994</v>
      </c>
      <c r="B555" s="2"/>
      <c r="C555" s="2" t="s">
        <v>284</v>
      </c>
      <c r="BB555" s="3"/>
      <c r="BC555" s="3"/>
      <c r="BD555" s="3"/>
      <c r="BE555" s="3"/>
      <c r="BF555" s="3"/>
      <c r="BG555" s="3"/>
      <c r="BH555" s="3"/>
      <c r="BI555" s="3"/>
    </row>
    <row r="556" spans="1:66" ht="12.9" customHeight="1">
      <c r="A556" s="2"/>
      <c r="B556" s="2"/>
      <c r="C556" s="2"/>
      <c r="BB556" s="3"/>
      <c r="BC556" s="3"/>
      <c r="BD556" s="3"/>
      <c r="BE556" s="3"/>
      <c r="BF556" s="3"/>
      <c r="BG556" s="3"/>
      <c r="BH556" s="3"/>
      <c r="BI556" s="3"/>
    </row>
    <row r="557" spans="1:66" ht="12.9" customHeight="1">
      <c r="A557" s="2"/>
      <c r="B557" s="2"/>
      <c r="C557" s="2"/>
      <c r="D557" s="2" t="s">
        <v>1474</v>
      </c>
      <c r="AC557" s="98"/>
      <c r="BB557" s="3"/>
      <c r="BC557" s="3"/>
      <c r="BD557" s="3"/>
      <c r="BE557" s="3"/>
      <c r="BF557" s="3"/>
      <c r="BG557" s="3"/>
      <c r="BH557" s="3"/>
      <c r="BI557" s="3"/>
    </row>
    <row r="558" spans="1:66" ht="12.9" customHeight="1">
      <c r="B558" s="512"/>
      <c r="BB558" s="3"/>
      <c r="BC558" s="3"/>
      <c r="BD558" s="3"/>
      <c r="BE558" s="3"/>
      <c r="BF558" s="3"/>
      <c r="BG558" s="3"/>
      <c r="BH558" s="3" t="s">
        <v>151</v>
      </c>
      <c r="BI558" s="3" t="str">
        <f>N665</f>
        <v>Yes</v>
      </c>
    </row>
    <row r="559" spans="1:66" ht="12.9" customHeight="1">
      <c r="B559" s="1432" t="s">
        <v>1475</v>
      </c>
      <c r="C559" s="1417"/>
      <c r="D559" s="1417"/>
      <c r="E559" s="1417"/>
      <c r="F559" s="1417"/>
      <c r="G559" s="1417"/>
      <c r="H559" s="1417"/>
      <c r="I559" s="1417"/>
      <c r="J559" s="1417"/>
      <c r="K559" s="1417"/>
      <c r="L559" s="1423"/>
      <c r="M559" s="1432" t="s">
        <v>1476</v>
      </c>
      <c r="N559" s="1417"/>
      <c r="O559" s="1417"/>
      <c r="P559" s="1423"/>
      <c r="Q559" s="1432" t="s">
        <v>1477</v>
      </c>
      <c r="R559" s="1417"/>
      <c r="S559" s="1423"/>
      <c r="T559" s="1432" t="s">
        <v>1478</v>
      </c>
      <c r="U559" s="1417"/>
      <c r="V559" s="1423"/>
      <c r="W559" s="1432" t="s">
        <v>1479</v>
      </c>
      <c r="X559" s="1417"/>
      <c r="Y559" s="1423"/>
      <c r="Z559" s="1432" t="s">
        <v>1480</v>
      </c>
      <c r="AA559" s="1417"/>
      <c r="AB559" s="1417"/>
      <c r="AC559" s="1417"/>
      <c r="AD559" s="1423"/>
      <c r="AE559" s="1432" t="s">
        <v>1481</v>
      </c>
      <c r="AF559" s="1417"/>
      <c r="AG559" s="1417"/>
      <c r="AH559" s="1423"/>
      <c r="AI559" s="1432" t="s">
        <v>1482</v>
      </c>
      <c r="AJ559" s="1417"/>
      <c r="AK559" s="1417"/>
      <c r="AL559" s="1423"/>
      <c r="AM559" s="1432" t="s">
        <v>1483</v>
      </c>
      <c r="AN559" s="1417"/>
      <c r="AO559" s="1417"/>
      <c r="AP559" s="1417"/>
      <c r="AQ559" s="1417"/>
      <c r="AR559" s="1417"/>
      <c r="AS559" s="1423"/>
      <c r="BB559" s="3"/>
      <c r="BC559" s="3"/>
      <c r="BD559" s="3"/>
      <c r="BE559" s="3"/>
      <c r="BF559" s="3"/>
      <c r="BG559" s="3"/>
      <c r="BH559" s="3" t="s">
        <v>194</v>
      </c>
      <c r="BI559" s="3" t="str">
        <f>AG665</f>
        <v>Yes</v>
      </c>
    </row>
    <row r="560" spans="1:66" ht="12.9" customHeight="1">
      <c r="B560" s="1403"/>
      <c r="C560" s="1298"/>
      <c r="D560" s="1298"/>
      <c r="E560" s="1298"/>
      <c r="F560" s="1298"/>
      <c r="G560" s="1298"/>
      <c r="H560" s="1298"/>
      <c r="I560" s="1298"/>
      <c r="J560" s="1298"/>
      <c r="K560" s="1298"/>
      <c r="L560" s="1383"/>
      <c r="M560" s="1403"/>
      <c r="N560" s="1298"/>
      <c r="O560" s="1298"/>
      <c r="P560" s="1383"/>
      <c r="Q560" s="1403"/>
      <c r="R560" s="1298"/>
      <c r="S560" s="1383"/>
      <c r="T560" s="1403"/>
      <c r="U560" s="1298"/>
      <c r="V560" s="1383"/>
      <c r="W560" s="1403"/>
      <c r="X560" s="1298"/>
      <c r="Y560" s="1383"/>
      <c r="Z560" s="1403"/>
      <c r="AA560" s="1298"/>
      <c r="AB560" s="1298"/>
      <c r="AC560" s="1298"/>
      <c r="AD560" s="1383"/>
      <c r="AE560" s="1403"/>
      <c r="AF560" s="1298"/>
      <c r="AG560" s="1298"/>
      <c r="AH560" s="1383"/>
      <c r="AI560" s="1403"/>
      <c r="AJ560" s="1298"/>
      <c r="AK560" s="1298"/>
      <c r="AL560" s="1383"/>
      <c r="AM560" s="1403"/>
      <c r="AN560" s="1298"/>
      <c r="AO560" s="1298"/>
      <c r="AP560" s="1298"/>
      <c r="AQ560" s="1298"/>
      <c r="AR560" s="1298"/>
      <c r="AS560" s="1383"/>
      <c r="AU560" s="1139"/>
      <c r="BB560" s="3"/>
      <c r="BC560" s="3"/>
      <c r="BD560" s="3"/>
      <c r="BE560" s="3"/>
      <c r="BF560" s="3"/>
      <c r="BG560" s="3"/>
      <c r="BH560" s="3"/>
      <c r="BI560" s="3"/>
    </row>
    <row r="561" spans="1:61" ht="12.9" customHeight="1">
      <c r="B561" s="1404"/>
      <c r="C561" s="1405"/>
      <c r="D561" s="1405"/>
      <c r="E561" s="1405"/>
      <c r="F561" s="1405"/>
      <c r="G561" s="1405"/>
      <c r="H561" s="1405"/>
      <c r="I561" s="1405"/>
      <c r="J561" s="1405"/>
      <c r="K561" s="1405"/>
      <c r="L561" s="1296"/>
      <c r="M561" s="1404"/>
      <c r="N561" s="1405"/>
      <c r="O561" s="1405"/>
      <c r="P561" s="1296"/>
      <c r="Q561" s="1404"/>
      <c r="R561" s="1405"/>
      <c r="S561" s="1296"/>
      <c r="T561" s="1404"/>
      <c r="U561" s="1405"/>
      <c r="V561" s="1296"/>
      <c r="W561" s="1404"/>
      <c r="X561" s="1405"/>
      <c r="Y561" s="1296"/>
      <c r="Z561" s="1404"/>
      <c r="AA561" s="1405"/>
      <c r="AB561" s="1405"/>
      <c r="AC561" s="1405"/>
      <c r="AD561" s="1296"/>
      <c r="AE561" s="1404"/>
      <c r="AF561" s="1405"/>
      <c r="AG561" s="1405"/>
      <c r="AH561" s="1296"/>
      <c r="AI561" s="1404"/>
      <c r="AJ561" s="1405"/>
      <c r="AK561" s="1405"/>
      <c r="AL561" s="1296"/>
      <c r="AM561" s="1404"/>
      <c r="AN561" s="1405"/>
      <c r="AO561" s="1405"/>
      <c r="AP561" s="1405"/>
      <c r="AQ561" s="1405"/>
      <c r="AR561" s="1405"/>
      <c r="AS561" s="1296"/>
      <c r="AU561" s="1139"/>
      <c r="BB561" s="3"/>
      <c r="BC561" s="3"/>
      <c r="BD561" s="3"/>
      <c r="BE561" s="3"/>
      <c r="BF561" s="3"/>
      <c r="BG561" s="3"/>
      <c r="BH561" s="3"/>
      <c r="BI561" s="3"/>
    </row>
    <row r="562" spans="1:61" ht="12.9" customHeight="1">
      <c r="B562" s="51" t="s">
        <v>130</v>
      </c>
      <c r="C562" s="1479" t="s">
        <v>1484</v>
      </c>
      <c r="D562" s="1374"/>
      <c r="E562" s="1374"/>
      <c r="F562" s="1374"/>
      <c r="G562" s="1374"/>
      <c r="H562" s="1374"/>
      <c r="I562" s="1374"/>
      <c r="J562" s="1374"/>
      <c r="K562" s="1374"/>
      <c r="L562" s="1375"/>
      <c r="M562" s="1479" t="s">
        <v>1458</v>
      </c>
      <c r="N562" s="1374"/>
      <c r="O562" s="1374"/>
      <c r="P562" s="1375"/>
      <c r="Q562" s="1662">
        <v>24</v>
      </c>
      <c r="R562" s="1374"/>
      <c r="S562" s="1375"/>
      <c r="T562" s="1427">
        <v>24</v>
      </c>
      <c r="U562" s="1374"/>
      <c r="V562" s="1375"/>
      <c r="W562" s="1399">
        <v>6.4199999999999993E-2</v>
      </c>
      <c r="X562" s="1374"/>
      <c r="Y562" s="1375"/>
      <c r="Z562" s="1451" t="s">
        <v>2760</v>
      </c>
      <c r="AA562" s="1374"/>
      <c r="AB562" s="1374"/>
      <c r="AC562" s="1374"/>
      <c r="AD562" s="1374"/>
      <c r="AE562" s="1487">
        <v>1</v>
      </c>
      <c r="AF562" s="1374"/>
      <c r="AG562" s="1374"/>
      <c r="AH562" s="1375"/>
      <c r="AI562" s="1450"/>
      <c r="AJ562" s="1374"/>
      <c r="AK562" s="1374"/>
      <c r="AL562" s="1375"/>
      <c r="AM562" s="1438">
        <v>8475000</v>
      </c>
      <c r="AN562" s="1374"/>
      <c r="AO562" s="1374"/>
      <c r="AP562" s="1374"/>
      <c r="AQ562" s="1374"/>
      <c r="AR562" s="1374"/>
      <c r="AS562" s="1375"/>
      <c r="AT562" s="1140"/>
      <c r="AU562" s="1139"/>
      <c r="BB562" s="3"/>
      <c r="BC562" s="3"/>
      <c r="BD562" s="3"/>
      <c r="BE562" s="3"/>
      <c r="BF562" s="3"/>
      <c r="BG562" s="3"/>
      <c r="BH562" s="3"/>
      <c r="BI562" s="3"/>
    </row>
    <row r="563" spans="1:61" ht="12.9" customHeight="1">
      <c r="B563" s="52" t="s">
        <v>143</v>
      </c>
      <c r="C563" s="1434" t="s">
        <v>2743</v>
      </c>
      <c r="D563" s="1374"/>
      <c r="E563" s="1374"/>
      <c r="F563" s="1374"/>
      <c r="G563" s="1374"/>
      <c r="H563" s="1374"/>
      <c r="I563" s="1374"/>
      <c r="J563" s="1374"/>
      <c r="K563" s="1374"/>
      <c r="L563" s="1375"/>
      <c r="M563" s="1557" t="s">
        <v>1457</v>
      </c>
      <c r="N563" s="1558"/>
      <c r="O563" s="1558"/>
      <c r="P563" s="1559"/>
      <c r="Q563" s="1427">
        <v>24</v>
      </c>
      <c r="R563" s="1374"/>
      <c r="S563" s="1375"/>
      <c r="T563" s="1427">
        <v>24</v>
      </c>
      <c r="U563" s="1374"/>
      <c r="V563" s="1375"/>
      <c r="W563" s="1399">
        <v>7.2499999999999995E-2</v>
      </c>
      <c r="X563" s="1374"/>
      <c r="Y563" s="1375"/>
      <c r="Z563" s="1451" t="s">
        <v>2760</v>
      </c>
      <c r="AA563" s="1374"/>
      <c r="AB563" s="1374"/>
      <c r="AC563" s="1374"/>
      <c r="AD563" s="1374"/>
      <c r="AE563" s="1487">
        <v>1</v>
      </c>
      <c r="AF563" s="1374"/>
      <c r="AG563" s="1374"/>
      <c r="AH563" s="1375"/>
      <c r="AI563" s="1450"/>
      <c r="AJ563" s="1374"/>
      <c r="AK563" s="1374"/>
      <c r="AL563" s="1375"/>
      <c r="AM563" s="1438">
        <v>739202</v>
      </c>
      <c r="AN563" s="1374"/>
      <c r="AO563" s="1374"/>
      <c r="AP563" s="1374"/>
      <c r="AQ563" s="1374"/>
      <c r="AR563" s="1374"/>
      <c r="AS563" s="1375"/>
      <c r="AT563" s="1140" t="str">
        <f t="shared" ref="AT563:AT573" si="1">IF(AND(NOT(C562=""),C563="",NOT(C564="")),"!","")</f>
        <v/>
      </c>
      <c r="AU563" s="1139"/>
      <c r="BB563" s="3"/>
      <c r="BC563" s="3"/>
      <c r="BD563" s="3"/>
      <c r="BE563" s="3"/>
      <c r="BF563" s="3"/>
      <c r="BG563" s="3"/>
      <c r="BH563" s="3"/>
      <c r="BI563" s="3"/>
    </row>
    <row r="564" spans="1:61" ht="12.9" customHeight="1">
      <c r="B564" s="52" t="s">
        <v>151</v>
      </c>
      <c r="C564" s="1434" t="s">
        <v>1485</v>
      </c>
      <c r="D564" s="1374"/>
      <c r="E564" s="1374"/>
      <c r="F564" s="1374"/>
      <c r="G564" s="1374"/>
      <c r="H564" s="1374"/>
      <c r="I564" s="1374"/>
      <c r="J564" s="1374"/>
      <c r="K564" s="1374"/>
      <c r="L564" s="1375"/>
      <c r="M564" s="1479" t="s">
        <v>1445</v>
      </c>
      <c r="N564" s="1374"/>
      <c r="O564" s="1374"/>
      <c r="P564" s="1375"/>
      <c r="Q564" s="1427"/>
      <c r="R564" s="1374"/>
      <c r="S564" s="1375"/>
      <c r="T564" s="1427"/>
      <c r="U564" s="1374"/>
      <c r="V564" s="1375"/>
      <c r="W564" s="1399"/>
      <c r="X564" s="1374"/>
      <c r="Y564" s="1375"/>
      <c r="Z564" s="1451" t="s">
        <v>1116</v>
      </c>
      <c r="AA564" s="1374"/>
      <c r="AB564" s="1374"/>
      <c r="AC564" s="1374"/>
      <c r="AD564" s="1374"/>
      <c r="AE564" s="1487"/>
      <c r="AF564" s="1374"/>
      <c r="AG564" s="1374"/>
      <c r="AH564" s="1375"/>
      <c r="AI564" s="1450"/>
      <c r="AJ564" s="1374"/>
      <c r="AK564" s="1374"/>
      <c r="AL564" s="1375"/>
      <c r="AM564" s="1438">
        <v>5038231</v>
      </c>
      <c r="AN564" s="1374"/>
      <c r="AO564" s="1374"/>
      <c r="AP564" s="1374"/>
      <c r="AQ564" s="1374"/>
      <c r="AR564" s="1374"/>
      <c r="AS564" s="1375"/>
      <c r="AT564" s="1140" t="str">
        <f t="shared" si="1"/>
        <v/>
      </c>
      <c r="AU564" s="1139"/>
      <c r="BB564" s="3"/>
      <c r="BC564" s="3"/>
      <c r="BD564" s="3"/>
      <c r="BE564" s="3"/>
      <c r="BF564" s="3"/>
      <c r="BG564" s="3"/>
      <c r="BH564" s="3"/>
      <c r="BI564" s="3"/>
    </row>
    <row r="565" spans="1:61" ht="12.9" customHeight="1">
      <c r="B565" s="52" t="s">
        <v>194</v>
      </c>
      <c r="C565" s="1434" t="s">
        <v>2748</v>
      </c>
      <c r="D565" s="1374"/>
      <c r="E565" s="1374"/>
      <c r="F565" s="1374"/>
      <c r="G565" s="1374"/>
      <c r="H565" s="1374"/>
      <c r="I565" s="1374"/>
      <c r="J565" s="1374"/>
      <c r="K565" s="1374"/>
      <c r="L565" s="1375"/>
      <c r="M565" s="1479" t="s">
        <v>1454</v>
      </c>
      <c r="N565" s="1374"/>
      <c r="O565" s="1374"/>
      <c r="P565" s="1375"/>
      <c r="Q565" s="1427"/>
      <c r="R565" s="1374"/>
      <c r="S565" s="1375"/>
      <c r="T565" s="1427"/>
      <c r="U565" s="1374"/>
      <c r="V565" s="1375"/>
      <c r="W565" s="1399"/>
      <c r="X565" s="1374"/>
      <c r="Y565" s="1375"/>
      <c r="Z565" s="1451" t="s">
        <v>1116</v>
      </c>
      <c r="AA565" s="1374"/>
      <c r="AB565" s="1374"/>
      <c r="AC565" s="1374"/>
      <c r="AD565" s="1374"/>
      <c r="AE565" s="1487"/>
      <c r="AF565" s="1374"/>
      <c r="AG565" s="1374"/>
      <c r="AH565" s="1375"/>
      <c r="AI565" s="1450"/>
      <c r="AJ565" s="1374"/>
      <c r="AK565" s="1374"/>
      <c r="AL565" s="1375"/>
      <c r="AM565" s="1438">
        <v>4425484</v>
      </c>
      <c r="AN565" s="1374"/>
      <c r="AO565" s="1374"/>
      <c r="AP565" s="1374"/>
      <c r="AQ565" s="1374"/>
      <c r="AR565" s="1374"/>
      <c r="AS565" s="1375"/>
      <c r="AT565" s="1140" t="str">
        <f t="shared" si="1"/>
        <v/>
      </c>
      <c r="AU565" s="1139"/>
      <c r="BB565" s="3"/>
      <c r="BC565" s="3"/>
      <c r="BD565" s="3"/>
      <c r="BE565" s="3"/>
      <c r="BF565" s="3"/>
      <c r="BG565" s="3"/>
      <c r="BH565" s="3"/>
      <c r="BI565" s="3"/>
    </row>
    <row r="566" spans="1:61" ht="12.9" customHeight="1">
      <c r="B566" s="52" t="s">
        <v>198</v>
      </c>
      <c r="C566" s="1434" t="s">
        <v>2747</v>
      </c>
      <c r="D566" s="1374"/>
      <c r="E566" s="1374"/>
      <c r="F566" s="1374"/>
      <c r="G566" s="1374"/>
      <c r="H566" s="1374"/>
      <c r="I566" s="1374"/>
      <c r="J566" s="1374"/>
      <c r="K566" s="1374"/>
      <c r="L566" s="1375"/>
      <c r="M566" s="1479" t="s">
        <v>1454</v>
      </c>
      <c r="N566" s="1374"/>
      <c r="O566" s="1374"/>
      <c r="P566" s="1375"/>
      <c r="Q566" s="1427"/>
      <c r="R566" s="1374"/>
      <c r="S566" s="1375"/>
      <c r="T566" s="1427"/>
      <c r="U566" s="1374"/>
      <c r="V566" s="1375"/>
      <c r="W566" s="1399"/>
      <c r="X566" s="1374"/>
      <c r="Y566" s="1375"/>
      <c r="Z566" s="1451" t="s">
        <v>1116</v>
      </c>
      <c r="AA566" s="1374"/>
      <c r="AB566" s="1374"/>
      <c r="AC566" s="1374"/>
      <c r="AD566" s="1374"/>
      <c r="AE566" s="1487"/>
      <c r="AF566" s="1374"/>
      <c r="AG566" s="1374"/>
      <c r="AH566" s="1375"/>
      <c r="AI566" s="1450"/>
      <c r="AJ566" s="1374"/>
      <c r="AK566" s="1374"/>
      <c r="AL566" s="1375"/>
      <c r="AM566" s="1438">
        <v>5694201</v>
      </c>
      <c r="AN566" s="1374"/>
      <c r="AO566" s="1374"/>
      <c r="AP566" s="1374"/>
      <c r="AQ566" s="1374"/>
      <c r="AR566" s="1374"/>
      <c r="AS566" s="1375"/>
      <c r="AT566" s="1140" t="str">
        <f t="shared" si="1"/>
        <v/>
      </c>
      <c r="AU566" s="1139"/>
      <c r="BB566" s="3"/>
      <c r="BC566" s="3"/>
      <c r="BD566" s="3"/>
      <c r="BE566" s="3"/>
      <c r="BF566" s="3"/>
      <c r="BG566" s="3"/>
      <c r="BH566" s="3" t="s">
        <v>198</v>
      </c>
      <c r="BI566" s="3" t="str">
        <f>N673</f>
        <v>Yes</v>
      </c>
    </row>
    <row r="567" spans="1:61" ht="12.9" customHeight="1">
      <c r="B567" s="52" t="s">
        <v>1486</v>
      </c>
      <c r="C567" s="1434" t="s">
        <v>2749</v>
      </c>
      <c r="D567" s="1374"/>
      <c r="E567" s="1374"/>
      <c r="F567" s="1374"/>
      <c r="G567" s="1374"/>
      <c r="H567" s="1374"/>
      <c r="I567" s="1374"/>
      <c r="J567" s="1374"/>
      <c r="K567" s="1374"/>
      <c r="L567" s="1375"/>
      <c r="M567" s="1479" t="s">
        <v>1454</v>
      </c>
      <c r="N567" s="1374"/>
      <c r="O567" s="1374"/>
      <c r="P567" s="1375"/>
      <c r="Q567" s="1427"/>
      <c r="R567" s="1374"/>
      <c r="S567" s="1375"/>
      <c r="T567" s="1427"/>
      <c r="U567" s="1374"/>
      <c r="V567" s="1375"/>
      <c r="W567" s="1399"/>
      <c r="X567" s="1374"/>
      <c r="Y567" s="1375"/>
      <c r="Z567" s="1451" t="s">
        <v>1116</v>
      </c>
      <c r="AA567" s="1374"/>
      <c r="AB567" s="1374"/>
      <c r="AC567" s="1374"/>
      <c r="AD567" s="1374"/>
      <c r="AE567" s="1487"/>
      <c r="AF567" s="1374"/>
      <c r="AG567" s="1374"/>
      <c r="AH567" s="1375"/>
      <c r="AI567" s="1450"/>
      <c r="AJ567" s="1374"/>
      <c r="AK567" s="1374"/>
      <c r="AL567" s="1375"/>
      <c r="AM567" s="1438">
        <v>3139430</v>
      </c>
      <c r="AN567" s="1374"/>
      <c r="AO567" s="1374"/>
      <c r="AP567" s="1374"/>
      <c r="AQ567" s="1374"/>
      <c r="AR567" s="1374"/>
      <c r="AS567" s="1375"/>
      <c r="AT567" s="1140" t="str">
        <f t="shared" si="1"/>
        <v/>
      </c>
      <c r="AU567" s="1139"/>
      <c r="BB567" s="3"/>
      <c r="BC567" s="3"/>
      <c r="BD567" s="3"/>
      <c r="BE567" s="3"/>
      <c r="BF567" s="3"/>
      <c r="BG567" s="3"/>
      <c r="BH567" s="3" t="s">
        <v>1486</v>
      </c>
      <c r="BI567" s="3" t="str">
        <f>AG673</f>
        <v>No</v>
      </c>
    </row>
    <row r="568" spans="1:61" ht="12.9" customHeight="1">
      <c r="B568" s="52" t="s">
        <v>1487</v>
      </c>
      <c r="C568" s="1434" t="s">
        <v>2744</v>
      </c>
      <c r="D568" s="1374"/>
      <c r="E568" s="1374"/>
      <c r="F568" s="1374"/>
      <c r="G568" s="1374"/>
      <c r="H568" s="1374"/>
      <c r="I568" s="1374"/>
      <c r="J568" s="1374"/>
      <c r="K568" s="1374"/>
      <c r="L568" s="1375"/>
      <c r="M568" s="1479" t="s">
        <v>1437</v>
      </c>
      <c r="N568" s="1374"/>
      <c r="O568" s="1374"/>
      <c r="P568" s="1375"/>
      <c r="Q568" s="1427"/>
      <c r="R568" s="1374"/>
      <c r="S568" s="1375"/>
      <c r="T568" s="1427"/>
      <c r="U568" s="1374"/>
      <c r="V568" s="1375"/>
      <c r="W568" s="1399"/>
      <c r="X568" s="1374"/>
      <c r="Y568" s="1375"/>
      <c r="Z568" s="1451" t="s">
        <v>1116</v>
      </c>
      <c r="AA568" s="1374"/>
      <c r="AB568" s="1374"/>
      <c r="AC568" s="1374"/>
      <c r="AD568" s="1374"/>
      <c r="AE568" s="1487"/>
      <c r="AF568" s="1374"/>
      <c r="AG568" s="1374"/>
      <c r="AH568" s="1375"/>
      <c r="AI568" s="1450"/>
      <c r="AJ568" s="1374"/>
      <c r="AK568" s="1374"/>
      <c r="AL568" s="1375"/>
      <c r="AM568" s="1438">
        <v>3463634</v>
      </c>
      <c r="AN568" s="1374"/>
      <c r="AO568" s="1374"/>
      <c r="AP568" s="1374"/>
      <c r="AQ568" s="1374"/>
      <c r="AR568" s="1374"/>
      <c r="AS568" s="1375"/>
      <c r="AT568" s="1140" t="str">
        <f t="shared" si="1"/>
        <v/>
      </c>
      <c r="AU568" s="1139"/>
      <c r="BB568" s="3"/>
      <c r="BC568" s="3"/>
      <c r="BD568" s="3"/>
      <c r="BE568" s="3"/>
      <c r="BF568" s="3"/>
      <c r="BG568" s="3"/>
      <c r="BH568" s="3"/>
      <c r="BI568" s="3"/>
    </row>
    <row r="569" spans="1:61" ht="12.9" customHeight="1">
      <c r="B569" s="52" t="s">
        <v>1488</v>
      </c>
      <c r="C569" s="1434"/>
      <c r="D569" s="1374"/>
      <c r="E569" s="1374"/>
      <c r="F569" s="1374"/>
      <c r="G569" s="1374"/>
      <c r="H569" s="1374"/>
      <c r="I569" s="1374"/>
      <c r="J569" s="1374"/>
      <c r="K569" s="1374"/>
      <c r="L569" s="1375"/>
      <c r="M569" s="1479"/>
      <c r="N569" s="1374"/>
      <c r="O569" s="1374"/>
      <c r="P569" s="1375"/>
      <c r="Q569" s="1427"/>
      <c r="R569" s="1374"/>
      <c r="S569" s="1375"/>
      <c r="T569" s="1427"/>
      <c r="U569" s="1374"/>
      <c r="V569" s="1375"/>
      <c r="W569" s="1399"/>
      <c r="X569" s="1374"/>
      <c r="Y569" s="1375"/>
      <c r="Z569" s="1451" t="s">
        <v>1116</v>
      </c>
      <c r="AA569" s="1374"/>
      <c r="AB569" s="1374"/>
      <c r="AC569" s="1374"/>
      <c r="AD569" s="1374"/>
      <c r="AE569" s="1487"/>
      <c r="AF569" s="1374"/>
      <c r="AG569" s="1374"/>
      <c r="AH569" s="1375"/>
      <c r="AI569" s="1450"/>
      <c r="AJ569" s="1374"/>
      <c r="AK569" s="1374"/>
      <c r="AL569" s="1375"/>
      <c r="AM569" s="1438"/>
      <c r="AN569" s="1374"/>
      <c r="AO569" s="1374"/>
      <c r="AP569" s="1374"/>
      <c r="AQ569" s="1374"/>
      <c r="AR569" s="1374"/>
      <c r="AS569" s="1375"/>
      <c r="AT569" s="1140" t="str">
        <f t="shared" si="1"/>
        <v/>
      </c>
      <c r="AU569" s="1139"/>
      <c r="BB569" s="3"/>
      <c r="BC569" s="3"/>
      <c r="BD569" s="3"/>
      <c r="BE569" s="3"/>
      <c r="BF569" s="3"/>
      <c r="BG569" s="3"/>
      <c r="BH569" s="3"/>
      <c r="BI569" s="3"/>
    </row>
    <row r="570" spans="1:61" ht="12.9" customHeight="1">
      <c r="B570" s="52" t="s">
        <v>1489</v>
      </c>
      <c r="C570" s="1434"/>
      <c r="D570" s="1374"/>
      <c r="E570" s="1374"/>
      <c r="F570" s="1374"/>
      <c r="G570" s="1374"/>
      <c r="H570" s="1374"/>
      <c r="I570" s="1374"/>
      <c r="J570" s="1374"/>
      <c r="K570" s="1374"/>
      <c r="L570" s="1375"/>
      <c r="M570" s="1479"/>
      <c r="N570" s="1374"/>
      <c r="O570" s="1374"/>
      <c r="P570" s="1375"/>
      <c r="Q570" s="1427"/>
      <c r="R570" s="1374"/>
      <c r="S570" s="1375"/>
      <c r="T570" s="1427"/>
      <c r="U570" s="1374"/>
      <c r="V570" s="1375"/>
      <c r="W570" s="1399"/>
      <c r="X570" s="1374"/>
      <c r="Y570" s="1375"/>
      <c r="Z570" s="1451" t="s">
        <v>1116</v>
      </c>
      <c r="AA570" s="1374"/>
      <c r="AB570" s="1374"/>
      <c r="AC570" s="1374"/>
      <c r="AD570" s="1374"/>
      <c r="AE570" s="1487"/>
      <c r="AF570" s="1374"/>
      <c r="AG570" s="1374"/>
      <c r="AH570" s="1375"/>
      <c r="AI570" s="1450"/>
      <c r="AJ570" s="1374"/>
      <c r="AK570" s="1374"/>
      <c r="AL570" s="1375"/>
      <c r="AM570" s="1438"/>
      <c r="AN570" s="1374"/>
      <c r="AO570" s="1374"/>
      <c r="AP570" s="1374"/>
      <c r="AQ570" s="1374"/>
      <c r="AR570" s="1374"/>
      <c r="AS570" s="1375"/>
      <c r="AT570" s="1140" t="str">
        <f t="shared" si="1"/>
        <v/>
      </c>
      <c r="AU570" s="1139"/>
      <c r="BB570" s="3"/>
      <c r="BC570" s="3"/>
      <c r="BD570" s="3"/>
      <c r="BE570" s="3"/>
      <c r="BF570" s="3"/>
      <c r="BG570" s="3"/>
      <c r="BH570" s="3"/>
      <c r="BI570" s="3"/>
    </row>
    <row r="571" spans="1:61" ht="12.9" customHeight="1">
      <c r="B571" s="52" t="s">
        <v>1490</v>
      </c>
      <c r="C571" s="1434"/>
      <c r="D571" s="1374"/>
      <c r="E571" s="1374"/>
      <c r="F571" s="1374"/>
      <c r="G571" s="1374"/>
      <c r="H571" s="1374"/>
      <c r="I571" s="1374"/>
      <c r="J571" s="1374"/>
      <c r="K571" s="1374"/>
      <c r="L571" s="1375"/>
      <c r="M571" s="1479"/>
      <c r="N571" s="1374"/>
      <c r="O571" s="1374"/>
      <c r="P571" s="1375"/>
      <c r="Q571" s="1427"/>
      <c r="R571" s="1374"/>
      <c r="S571" s="1375"/>
      <c r="T571" s="1427"/>
      <c r="U571" s="1374"/>
      <c r="V571" s="1375"/>
      <c r="W571" s="1399"/>
      <c r="X571" s="1374"/>
      <c r="Y571" s="1375"/>
      <c r="Z571" s="1451" t="s">
        <v>1116</v>
      </c>
      <c r="AA571" s="1374"/>
      <c r="AB571" s="1374"/>
      <c r="AC571" s="1374"/>
      <c r="AD571" s="1374"/>
      <c r="AE571" s="1487"/>
      <c r="AF571" s="1374"/>
      <c r="AG571" s="1374"/>
      <c r="AH571" s="1375"/>
      <c r="AI571" s="1450"/>
      <c r="AJ571" s="1374"/>
      <c r="AK571" s="1374"/>
      <c r="AL571" s="1375"/>
      <c r="AM571" s="1438"/>
      <c r="AN571" s="1374"/>
      <c r="AO571" s="1374"/>
      <c r="AP571" s="1374"/>
      <c r="AQ571" s="1374"/>
      <c r="AR571" s="1374"/>
      <c r="AS571" s="1375"/>
      <c r="AT571" s="1140" t="str">
        <f t="shared" si="1"/>
        <v/>
      </c>
      <c r="BB571" s="3"/>
      <c r="BC571" s="3"/>
      <c r="BD571" s="3"/>
      <c r="BE571" s="3"/>
      <c r="BF571" s="3"/>
      <c r="BG571" s="3"/>
      <c r="BH571" s="3"/>
      <c r="BI571" s="3"/>
    </row>
    <row r="572" spans="1:61" ht="12.9" customHeight="1">
      <c r="B572" s="52" t="s">
        <v>1491</v>
      </c>
      <c r="C572" s="1434"/>
      <c r="D572" s="1374"/>
      <c r="E572" s="1374"/>
      <c r="F572" s="1374"/>
      <c r="G572" s="1374"/>
      <c r="H572" s="1374"/>
      <c r="I572" s="1374"/>
      <c r="J572" s="1374"/>
      <c r="K572" s="1374"/>
      <c r="L572" s="1375"/>
      <c r="M572" s="1479"/>
      <c r="N572" s="1374"/>
      <c r="O572" s="1374"/>
      <c r="P572" s="1375"/>
      <c r="Q572" s="1427"/>
      <c r="R572" s="1374"/>
      <c r="S572" s="1375"/>
      <c r="T572" s="1427"/>
      <c r="U572" s="1374"/>
      <c r="V572" s="1375"/>
      <c r="W572" s="1399"/>
      <c r="X572" s="1374"/>
      <c r="Y572" s="1375"/>
      <c r="Z572" s="1451" t="s">
        <v>1116</v>
      </c>
      <c r="AA572" s="1374"/>
      <c r="AB572" s="1374"/>
      <c r="AC572" s="1374"/>
      <c r="AD572" s="1374"/>
      <c r="AE572" s="1487"/>
      <c r="AF572" s="1374"/>
      <c r="AG572" s="1374"/>
      <c r="AH572" s="1375"/>
      <c r="AI572" s="1450"/>
      <c r="AJ572" s="1374"/>
      <c r="AK572" s="1374"/>
      <c r="AL572" s="1375"/>
      <c r="AM572" s="1438"/>
      <c r="AN572" s="1374"/>
      <c r="AO572" s="1374"/>
      <c r="AP572" s="1374"/>
      <c r="AQ572" s="1374"/>
      <c r="AR572" s="1374"/>
      <c r="AS572" s="1375"/>
      <c r="AT572" s="1140" t="str">
        <f t="shared" si="1"/>
        <v/>
      </c>
      <c r="BB572" s="3"/>
      <c r="BC572" s="3"/>
      <c r="BD572" s="3"/>
      <c r="BE572" s="3"/>
      <c r="BF572" s="3"/>
      <c r="BG572" s="3"/>
      <c r="BH572" s="3"/>
      <c r="BI572" s="3"/>
    </row>
    <row r="573" spans="1:61" ht="12.9" customHeight="1">
      <c r="B573" s="52" t="s">
        <v>1492</v>
      </c>
      <c r="C573" s="1434"/>
      <c r="D573" s="1374"/>
      <c r="E573" s="1374"/>
      <c r="F573" s="1374"/>
      <c r="G573" s="1374"/>
      <c r="H573" s="1374"/>
      <c r="I573" s="1374"/>
      <c r="J573" s="1374"/>
      <c r="K573" s="1374"/>
      <c r="L573" s="1375"/>
      <c r="M573" s="1479"/>
      <c r="N573" s="1374"/>
      <c r="O573" s="1374"/>
      <c r="P573" s="1375"/>
      <c r="Q573" s="1427"/>
      <c r="R573" s="1374"/>
      <c r="S573" s="1375"/>
      <c r="T573" s="1427"/>
      <c r="U573" s="1374"/>
      <c r="V573" s="1375"/>
      <c r="W573" s="1399"/>
      <c r="X573" s="1374"/>
      <c r="Y573" s="1375"/>
      <c r="Z573" s="1451" t="s">
        <v>1116</v>
      </c>
      <c r="AA573" s="1374"/>
      <c r="AB573" s="1374"/>
      <c r="AC573" s="1374"/>
      <c r="AD573" s="1374"/>
      <c r="AE573" s="1487"/>
      <c r="AF573" s="1374"/>
      <c r="AG573" s="1374"/>
      <c r="AH573" s="1375"/>
      <c r="AI573" s="1450"/>
      <c r="AJ573" s="1374"/>
      <c r="AK573" s="1374"/>
      <c r="AL573" s="1375"/>
      <c r="AM573" s="1438"/>
      <c r="AN573" s="1374"/>
      <c r="AO573" s="1374"/>
      <c r="AP573" s="1374"/>
      <c r="AQ573" s="1374"/>
      <c r="AR573" s="1374"/>
      <c r="AS573" s="1375"/>
      <c r="AT573" s="1140" t="str">
        <f t="shared" si="1"/>
        <v/>
      </c>
      <c r="BB573" s="3"/>
      <c r="BC573" s="3"/>
      <c r="BD573" s="3"/>
      <c r="BE573" s="3"/>
      <c r="BF573" s="3"/>
      <c r="BG573" s="3"/>
      <c r="BH573" s="3"/>
      <c r="BI573" s="3"/>
    </row>
    <row r="574" spans="1:61" ht="12.9" customHeight="1">
      <c r="B574" s="1498" t="s">
        <v>1493</v>
      </c>
      <c r="C574" s="1263"/>
      <c r="D574" s="1263"/>
      <c r="E574" s="1263"/>
      <c r="F574" s="1263"/>
      <c r="G574" s="1263"/>
      <c r="H574" s="1263"/>
      <c r="I574" s="1263"/>
      <c r="J574" s="1263"/>
      <c r="K574" s="1263"/>
      <c r="L574" s="1263"/>
      <c r="M574" s="1263"/>
      <c r="N574" s="1263"/>
      <c r="O574" s="1263"/>
      <c r="P574" s="1263"/>
      <c r="Q574" s="1263"/>
      <c r="R574" s="1263"/>
      <c r="S574" s="1263"/>
      <c r="T574" s="1263"/>
      <c r="U574" s="1263"/>
      <c r="V574" s="1263"/>
      <c r="W574" s="1263"/>
      <c r="X574" s="1263"/>
      <c r="Y574" s="1263"/>
      <c r="Z574" s="1263"/>
      <c r="AA574" s="1263"/>
      <c r="AB574" s="1263"/>
      <c r="AC574" s="1263"/>
      <c r="AD574" s="1263"/>
      <c r="AE574" s="1263"/>
      <c r="AF574" s="1263"/>
      <c r="AG574" s="1263"/>
      <c r="AH574" s="1263"/>
      <c r="AI574" s="1263"/>
      <c r="AJ574" s="1263"/>
      <c r="AK574" s="1263"/>
      <c r="AL574" s="1264"/>
      <c r="AM574" s="1385">
        <f>SUM(AM562:AS573)</f>
        <v>30975182</v>
      </c>
      <c r="AN574" s="1263"/>
      <c r="AO574" s="1263"/>
      <c r="AP574" s="1263"/>
      <c r="AQ574" s="1263"/>
      <c r="AR574" s="1263"/>
      <c r="AS574" s="1264"/>
      <c r="BB574" s="3"/>
      <c r="BC574" s="3"/>
      <c r="BD574" s="3"/>
      <c r="BE574" s="3"/>
      <c r="BF574" s="3"/>
      <c r="BG574" s="3"/>
      <c r="BH574" s="3" t="s">
        <v>1487</v>
      </c>
      <c r="BI574" s="3" t="str">
        <f>N681</f>
        <v>No</v>
      </c>
    </row>
    <row r="575" spans="1:61" ht="12.9"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1488</v>
      </c>
      <c r="BI575" s="3" t="str">
        <f>AG681</f>
        <v>No</v>
      </c>
    </row>
    <row r="576" spans="1:61" ht="12.9" customHeight="1">
      <c r="A576" s="55" t="s">
        <v>130</v>
      </c>
      <c r="B576" t="s">
        <v>1494</v>
      </c>
      <c r="G576" s="1421" t="str">
        <f>C562</f>
        <v>Berkadia - Tax Exempt Loan</v>
      </c>
      <c r="H576" s="1405"/>
      <c r="I576" s="1405"/>
      <c r="J576" s="1405"/>
      <c r="K576" s="1405"/>
      <c r="L576" s="1405"/>
      <c r="M576" s="1405"/>
      <c r="N576" s="1405"/>
      <c r="O576" s="1405"/>
      <c r="P576" s="1405"/>
      <c r="Q576" s="1405"/>
      <c r="R576" s="1405"/>
      <c r="S576" s="8"/>
      <c r="T576" s="55" t="s">
        <v>143</v>
      </c>
      <c r="U576" t="s">
        <v>1494</v>
      </c>
      <c r="Z576" s="1421" t="str">
        <f>C563</f>
        <v>Berkadia - Taxable Loan</v>
      </c>
      <c r="AA576" s="1405"/>
      <c r="AB576" s="1405"/>
      <c r="AC576" s="1405"/>
      <c r="AD576" s="1405"/>
      <c r="AE576" s="1405"/>
      <c r="AF576" s="1405"/>
      <c r="AG576" s="1405"/>
      <c r="AH576" s="1405"/>
      <c r="AI576" s="1405"/>
      <c r="AJ576" s="1405"/>
      <c r="AK576" s="1405"/>
      <c r="BB576" s="3"/>
      <c r="BC576" s="3"/>
      <c r="BD576" s="3"/>
      <c r="BE576" s="3"/>
      <c r="BF576" s="3"/>
      <c r="BG576" s="3"/>
      <c r="BH576" s="3"/>
      <c r="BI576" s="3"/>
    </row>
    <row r="577" spans="1:61" ht="12.9" customHeight="1">
      <c r="A577" s="22"/>
      <c r="B577" t="s">
        <v>1181</v>
      </c>
      <c r="G577" s="1393" t="s">
        <v>1495</v>
      </c>
      <c r="H577" s="1294"/>
      <c r="I577" s="1294"/>
      <c r="J577" s="1294"/>
      <c r="K577" s="1294"/>
      <c r="L577" s="1294"/>
      <c r="M577" s="1294"/>
      <c r="N577" s="1294"/>
      <c r="O577" s="1294"/>
      <c r="P577" s="1294"/>
      <c r="Q577" s="1294"/>
      <c r="R577" s="1294"/>
      <c r="S577" s="8"/>
      <c r="T577" s="22"/>
      <c r="U577" t="s">
        <v>1181</v>
      </c>
      <c r="Z577" s="1393" t="s">
        <v>1495</v>
      </c>
      <c r="AA577" s="1294"/>
      <c r="AB577" s="1294"/>
      <c r="AC577" s="1294"/>
      <c r="AD577" s="1294"/>
      <c r="AE577" s="1294"/>
      <c r="AF577" s="1294"/>
      <c r="AG577" s="1294"/>
      <c r="AH577" s="1294"/>
      <c r="AI577" s="1294"/>
      <c r="AJ577" s="1294"/>
      <c r="AK577" s="1294"/>
      <c r="BB577" s="3"/>
      <c r="BC577" s="3"/>
      <c r="BD577" s="3"/>
      <c r="BE577" s="3"/>
      <c r="BF577" s="3"/>
      <c r="BG577" s="3"/>
      <c r="BH577" s="3"/>
      <c r="BI577" s="3"/>
    </row>
    <row r="578" spans="1:61" ht="12.9" customHeight="1">
      <c r="A578" s="22"/>
      <c r="B578" t="s">
        <v>1049</v>
      </c>
      <c r="G578" s="1389" t="s">
        <v>1496</v>
      </c>
      <c r="H578" s="1294"/>
      <c r="I578" s="1294"/>
      <c r="J578" s="1294"/>
      <c r="K578" s="1294"/>
      <c r="L578" s="1294"/>
      <c r="M578" s="1294"/>
      <c r="N578" s="1294"/>
      <c r="O578" s="1294"/>
      <c r="P578" s="1294"/>
      <c r="Q578" s="1294"/>
      <c r="R578" s="1294"/>
      <c r="T578" s="22"/>
      <c r="U578" t="s">
        <v>1049</v>
      </c>
      <c r="Z578" s="1431" t="s">
        <v>1496</v>
      </c>
      <c r="AA578" s="1374"/>
      <c r="AB578" s="1374"/>
      <c r="AC578" s="1374"/>
      <c r="AD578" s="1374"/>
      <c r="AE578" s="1374"/>
      <c r="AF578" s="1374"/>
      <c r="AG578" s="1374"/>
      <c r="AH578" s="1374"/>
      <c r="AI578" s="1374"/>
      <c r="AJ578" s="1374"/>
      <c r="AK578" s="1374"/>
      <c r="BB578" s="3"/>
      <c r="BC578" s="3"/>
      <c r="BD578" s="3"/>
      <c r="BE578" s="3"/>
      <c r="BF578" s="3"/>
      <c r="BG578" s="3"/>
      <c r="BH578" s="3"/>
      <c r="BI578" s="3"/>
    </row>
    <row r="579" spans="1:61" ht="12.9" customHeight="1">
      <c r="A579" s="22"/>
      <c r="B579" t="s">
        <v>1497</v>
      </c>
      <c r="G579" s="1389" t="s">
        <v>1498</v>
      </c>
      <c r="H579" s="1294"/>
      <c r="I579" s="1294"/>
      <c r="J579" s="1294"/>
      <c r="K579" s="1294"/>
      <c r="L579" s="1294"/>
      <c r="M579" s="1294"/>
      <c r="N579" s="1294"/>
      <c r="O579" s="1294"/>
      <c r="P579" s="1294"/>
      <c r="Q579" s="1294"/>
      <c r="R579" s="1294"/>
      <c r="S579" s="8"/>
      <c r="T579" s="22"/>
      <c r="U579" t="s">
        <v>1497</v>
      </c>
      <c r="Z579" s="1431" t="s">
        <v>1498</v>
      </c>
      <c r="AA579" s="1374"/>
      <c r="AB579" s="1374"/>
      <c r="AC579" s="1374"/>
      <c r="AD579" s="1374"/>
      <c r="AE579" s="1374"/>
      <c r="AF579" s="1374"/>
      <c r="AG579" s="1374"/>
      <c r="AH579" s="1374"/>
      <c r="AI579" s="1374"/>
      <c r="AJ579" s="1374"/>
      <c r="AK579" s="1374"/>
      <c r="BB579" s="3"/>
      <c r="BC579" s="3"/>
      <c r="BD579" s="3"/>
      <c r="BE579" s="3"/>
      <c r="BF579" s="3"/>
      <c r="BG579" s="3"/>
      <c r="BH579" s="3"/>
      <c r="BI579" s="3"/>
    </row>
    <row r="580" spans="1:61" ht="12.9" customHeight="1">
      <c r="A580" s="22"/>
      <c r="B580" t="s">
        <v>948</v>
      </c>
      <c r="G580" s="1430" t="s">
        <v>1499</v>
      </c>
      <c r="H580" s="1374"/>
      <c r="I580" s="1374"/>
      <c r="J580" s="1374"/>
      <c r="K580" s="1374"/>
      <c r="L580" s="1374"/>
      <c r="O580" s="33" t="s">
        <v>1188</v>
      </c>
      <c r="P580" s="1440"/>
      <c r="Q580" s="1374"/>
      <c r="R580" s="1374"/>
      <c r="S580" s="10"/>
      <c r="T580" s="22"/>
      <c r="U580" t="s">
        <v>948</v>
      </c>
      <c r="Z580" s="1459" t="s">
        <v>1499</v>
      </c>
      <c r="AA580" s="1374"/>
      <c r="AB580" s="1374"/>
      <c r="AC580" s="1374"/>
      <c r="AD580" s="1374"/>
      <c r="AE580" s="1374"/>
      <c r="AH580" s="33" t="s">
        <v>1188</v>
      </c>
      <c r="AI580" s="1440"/>
      <c r="AJ580" s="1374"/>
      <c r="AK580" s="1374"/>
      <c r="BB580" s="3"/>
      <c r="BC580" s="3"/>
      <c r="BD580" s="3"/>
      <c r="BE580" s="3"/>
      <c r="BF580" s="3"/>
      <c r="BG580" s="3"/>
      <c r="BH580" s="3"/>
      <c r="BI580" s="3"/>
    </row>
    <row r="581" spans="1:61" ht="12.9" customHeight="1">
      <c r="A581" s="22"/>
      <c r="B581" t="s">
        <v>1500</v>
      </c>
      <c r="H581" s="1393" t="s">
        <v>2746</v>
      </c>
      <c r="I581" s="1294"/>
      <c r="J581" s="1294"/>
      <c r="K581" s="1294"/>
      <c r="L581" s="1294"/>
      <c r="M581" s="1294"/>
      <c r="N581" s="1294"/>
      <c r="O581" s="1294"/>
      <c r="P581" s="1294"/>
      <c r="Q581" s="1294"/>
      <c r="R581" s="1294"/>
      <c r="S581" s="8"/>
      <c r="T581" s="22"/>
      <c r="U581" t="s">
        <v>1500</v>
      </c>
      <c r="AA581" s="1393" t="s">
        <v>2745</v>
      </c>
      <c r="AB581" s="1294"/>
      <c r="AC581" s="1294"/>
      <c r="AD581" s="1294"/>
      <c r="AE581" s="1294"/>
      <c r="AF581" s="1294"/>
      <c r="AG581" s="1294"/>
      <c r="AH581" s="1294"/>
      <c r="AI581" s="1294"/>
      <c r="AJ581" s="1294"/>
      <c r="AK581" s="1294"/>
      <c r="BB581" s="3"/>
      <c r="BC581" s="3"/>
      <c r="BD581" s="3"/>
      <c r="BE581" s="3"/>
      <c r="BF581" s="3"/>
      <c r="BG581" s="3"/>
      <c r="BH581" s="3"/>
      <c r="BI581" s="3"/>
    </row>
    <row r="582" spans="1:61" ht="12.9" customHeight="1">
      <c r="A582" s="22"/>
      <c r="B582" s="320" t="s">
        <v>1501</v>
      </c>
      <c r="H582" s="8"/>
      <c r="I582" s="8"/>
      <c r="J582" s="8"/>
      <c r="K582" s="8"/>
      <c r="L582" s="8"/>
      <c r="M582" s="1488" t="s">
        <v>427</v>
      </c>
      <c r="N582" s="1374"/>
      <c r="O582" s="1374"/>
      <c r="P582" s="1374"/>
      <c r="Q582" s="1374"/>
      <c r="R582" s="1374"/>
      <c r="S582" s="8"/>
      <c r="T582" s="22"/>
      <c r="U582" s="320" t="s">
        <v>1501</v>
      </c>
      <c r="AA582" s="8"/>
      <c r="AB582" s="8"/>
      <c r="AC582" s="8"/>
      <c r="AD582" s="8"/>
      <c r="AE582" s="8"/>
      <c r="AF582" s="1488" t="s">
        <v>427</v>
      </c>
      <c r="AG582" s="1374"/>
      <c r="AH582" s="1374"/>
      <c r="AI582" s="1374"/>
      <c r="AJ582" s="1374"/>
      <c r="AK582" s="1374"/>
      <c r="BB582" s="3"/>
      <c r="BC582" s="3"/>
      <c r="BD582" s="3"/>
      <c r="BE582" s="3"/>
      <c r="BF582" s="3"/>
      <c r="BG582" s="3"/>
      <c r="BH582" s="3"/>
      <c r="BI582" s="3"/>
    </row>
    <row r="583" spans="1:61" ht="12.9" customHeight="1">
      <c r="A583" s="22"/>
      <c r="B583" t="s">
        <v>1502</v>
      </c>
      <c r="N583" s="1401" t="s">
        <v>969</v>
      </c>
      <c r="O583" s="1294"/>
      <c r="T583" s="22"/>
      <c r="U583" t="s">
        <v>1502</v>
      </c>
      <c r="AG583" s="1401" t="s">
        <v>969</v>
      </c>
      <c r="AH583" s="1294"/>
      <c r="BB583" s="3"/>
      <c r="BC583" s="3"/>
      <c r="BD583" s="3"/>
      <c r="BE583" s="3"/>
      <c r="BF583" s="3"/>
      <c r="BG583" s="3"/>
      <c r="BH583" s="3"/>
      <c r="BI583" s="3"/>
    </row>
    <row r="584" spans="1:61" ht="12.9" customHeight="1">
      <c r="A584" s="22"/>
      <c r="T584" s="22"/>
      <c r="BB584" s="3"/>
      <c r="BC584" s="3"/>
      <c r="BD584" s="3"/>
      <c r="BE584" s="3"/>
      <c r="BF584" s="3"/>
      <c r="BG584" s="3"/>
      <c r="BH584" s="3"/>
      <c r="BI584" s="3"/>
    </row>
    <row r="585" spans="1:61" ht="12.9" customHeight="1">
      <c r="A585" s="55" t="s">
        <v>151</v>
      </c>
      <c r="B585" t="s">
        <v>1494</v>
      </c>
      <c r="G585" s="1421" t="str">
        <f>C564</f>
        <v>Enterprise Housing Credit Inv.</v>
      </c>
      <c r="H585" s="1405"/>
      <c r="I585" s="1405"/>
      <c r="J585" s="1405"/>
      <c r="K585" s="1405"/>
      <c r="L585" s="1405"/>
      <c r="M585" s="1405"/>
      <c r="N585" s="1405"/>
      <c r="O585" s="1405"/>
      <c r="P585" s="1405"/>
      <c r="Q585" s="1405"/>
      <c r="R585" s="1405"/>
      <c r="T585" s="55" t="s">
        <v>194</v>
      </c>
      <c r="U585" t="s">
        <v>1494</v>
      </c>
      <c r="Z585" s="1421" t="str">
        <f>C565</f>
        <v>HCD BV I&amp;II Assumed Soft Loan</v>
      </c>
      <c r="AA585" s="1405"/>
      <c r="AB585" s="1405"/>
      <c r="AC585" s="1405"/>
      <c r="AD585" s="1405"/>
      <c r="AE585" s="1405"/>
      <c r="AF585" s="1405"/>
      <c r="AG585" s="1405"/>
      <c r="AH585" s="1405"/>
      <c r="AI585" s="1405"/>
      <c r="AJ585" s="1405"/>
      <c r="AK585" s="1405"/>
      <c r="BB585" s="3"/>
      <c r="BC585" s="3"/>
    </row>
    <row r="586" spans="1:61" ht="12.9" customHeight="1">
      <c r="A586" s="22"/>
      <c r="B586" t="s">
        <v>1181</v>
      </c>
      <c r="G586" s="1393" t="s">
        <v>1265</v>
      </c>
      <c r="H586" s="1294"/>
      <c r="I586" s="1294"/>
      <c r="J586" s="1294"/>
      <c r="K586" s="1294"/>
      <c r="L586" s="1294"/>
      <c r="M586" s="1294"/>
      <c r="N586" s="1294"/>
      <c r="O586" s="1294"/>
      <c r="P586" s="1294"/>
      <c r="Q586" s="1294"/>
      <c r="R586" s="1294"/>
      <c r="T586" s="22"/>
      <c r="U586" t="s">
        <v>1181</v>
      </c>
      <c r="Z586" s="1389" t="s">
        <v>2757</v>
      </c>
      <c r="AA586" s="1294"/>
      <c r="AB586" s="1294"/>
      <c r="AC586" s="1294"/>
      <c r="AD586" s="1294"/>
      <c r="AE586" s="1294"/>
      <c r="AF586" s="1294"/>
      <c r="AG586" s="1294"/>
      <c r="AH586" s="1294"/>
      <c r="AI586" s="1294"/>
      <c r="AJ586" s="1294"/>
      <c r="AK586" s="1294"/>
      <c r="BB586" s="3"/>
      <c r="BC586" s="3"/>
    </row>
    <row r="587" spans="1:61" ht="12.9" customHeight="1">
      <c r="A587" s="22"/>
      <c r="B587" t="s">
        <v>1049</v>
      </c>
      <c r="G587" s="1431" t="s">
        <v>1503</v>
      </c>
      <c r="H587" s="1374"/>
      <c r="I587" s="1374"/>
      <c r="J587" s="1374"/>
      <c r="K587" s="1374"/>
      <c r="L587" s="1374"/>
      <c r="M587" s="1374"/>
      <c r="N587" s="1374"/>
      <c r="O587" s="1374"/>
      <c r="P587" s="1374"/>
      <c r="Q587" s="1374"/>
      <c r="R587" s="1374"/>
      <c r="T587" s="22"/>
      <c r="U587" t="s">
        <v>1049</v>
      </c>
      <c r="Z587" s="1400" t="s">
        <v>1056</v>
      </c>
      <c r="AA587" s="1374"/>
      <c r="AB587" s="1374"/>
      <c r="AC587" s="1374"/>
      <c r="AD587" s="1374"/>
      <c r="AE587" s="1374"/>
      <c r="AF587" s="1374"/>
      <c r="AG587" s="1374"/>
      <c r="AH587" s="1374"/>
      <c r="AI587" s="1374"/>
      <c r="AJ587" s="1374"/>
      <c r="AK587" s="1374"/>
      <c r="BB587" s="3"/>
      <c r="BC587" s="3"/>
    </row>
    <row r="588" spans="1:61" ht="12.9" customHeight="1">
      <c r="A588" s="22"/>
      <c r="B588" t="s">
        <v>1497</v>
      </c>
      <c r="G588" s="1431" t="s">
        <v>1269</v>
      </c>
      <c r="H588" s="1374"/>
      <c r="I588" s="1374"/>
      <c r="J588" s="1374"/>
      <c r="K588" s="1374"/>
      <c r="L588" s="1374"/>
      <c r="M588" s="1374"/>
      <c r="N588" s="1374"/>
      <c r="O588" s="1374"/>
      <c r="P588" s="1374"/>
      <c r="Q588" s="1374"/>
      <c r="R588" s="1374"/>
      <c r="T588" s="22"/>
      <c r="U588" t="s">
        <v>1497</v>
      </c>
      <c r="Z588" s="1400" t="s">
        <v>2756</v>
      </c>
      <c r="AA588" s="1374"/>
      <c r="AB588" s="1374"/>
      <c r="AC588" s="1374"/>
      <c r="AD588" s="1374"/>
      <c r="AE588" s="1374"/>
      <c r="AF588" s="1374"/>
      <c r="AG588" s="1374"/>
      <c r="AH588" s="1374"/>
      <c r="AI588" s="1374"/>
      <c r="AJ588" s="1374"/>
      <c r="AK588" s="1374"/>
      <c r="BB588" s="3"/>
      <c r="BC588" s="3"/>
    </row>
    <row r="589" spans="1:61" ht="12.9" customHeight="1">
      <c r="A589" s="22"/>
      <c r="B589" t="s">
        <v>948</v>
      </c>
      <c r="G589" s="1459" t="s">
        <v>1504</v>
      </c>
      <c r="H589" s="1374"/>
      <c r="I589" s="1374"/>
      <c r="J589" s="1374"/>
      <c r="K589" s="1374"/>
      <c r="L589" s="1374"/>
      <c r="O589" s="33" t="s">
        <v>1188</v>
      </c>
      <c r="P589" s="1440"/>
      <c r="Q589" s="1374"/>
      <c r="R589" s="1374"/>
      <c r="T589" s="22"/>
      <c r="U589" t="s">
        <v>948</v>
      </c>
      <c r="Z589" s="1430">
        <v>9169957494</v>
      </c>
      <c r="AA589" s="1374"/>
      <c r="AB589" s="1374"/>
      <c r="AC589" s="1374"/>
      <c r="AD589" s="1374"/>
      <c r="AE589" s="1374"/>
      <c r="AH589" s="33" t="s">
        <v>1188</v>
      </c>
      <c r="AI589" s="1440"/>
      <c r="AJ589" s="1374"/>
      <c r="AK589" s="1374"/>
      <c r="BB589" s="3"/>
      <c r="BC589" s="3"/>
    </row>
    <row r="590" spans="1:61" ht="12.9" customHeight="1">
      <c r="A590" s="22"/>
      <c r="B590" t="s">
        <v>1500</v>
      </c>
      <c r="H590" s="1393" t="s">
        <v>1505</v>
      </c>
      <c r="I590" s="1294"/>
      <c r="J590" s="1294"/>
      <c r="K590" s="1294"/>
      <c r="L590" s="1294"/>
      <c r="M590" s="1294"/>
      <c r="N590" s="1294"/>
      <c r="O590" s="1294"/>
      <c r="P590" s="1294"/>
      <c r="Q590" s="1294"/>
      <c r="R590" s="1294"/>
      <c r="T590" s="22"/>
      <c r="U590" t="s">
        <v>1500</v>
      </c>
      <c r="AA590" s="1389" t="s">
        <v>2738</v>
      </c>
      <c r="AB590" s="1294"/>
      <c r="AC590" s="1294"/>
      <c r="AD590" s="1294"/>
      <c r="AE590" s="1294"/>
      <c r="AF590" s="1294"/>
      <c r="AG590" s="1294"/>
      <c r="AH590" s="1294"/>
      <c r="AI590" s="1294"/>
      <c r="AJ590" s="1294"/>
      <c r="AK590" s="1294"/>
      <c r="BB590" s="3"/>
      <c r="BC590" s="3"/>
    </row>
    <row r="591" spans="1:61" ht="12.9" customHeight="1">
      <c r="A591" s="22"/>
      <c r="B591" t="s">
        <v>1502</v>
      </c>
      <c r="N591" s="1401" t="s">
        <v>969</v>
      </c>
      <c r="O591" s="1294"/>
      <c r="T591" s="22"/>
      <c r="U591" t="s">
        <v>1502</v>
      </c>
      <c r="AG591" s="1401" t="s">
        <v>969</v>
      </c>
      <c r="AH591" s="1294"/>
      <c r="BB591" s="3"/>
      <c r="BC591" s="3"/>
    </row>
    <row r="592" spans="1:61" ht="12.9" customHeight="1">
      <c r="A592" s="22"/>
      <c r="T592" s="22"/>
      <c r="BB592" s="3"/>
      <c r="BC592" s="3"/>
    </row>
    <row r="593" spans="1:55" ht="12.9" customHeight="1">
      <c r="A593" s="55" t="s">
        <v>198</v>
      </c>
      <c r="B593" t="s">
        <v>1494</v>
      </c>
      <c r="G593" s="1421" t="str">
        <f>C566</f>
        <v>LAHD BV I&amp;II Assumed Soft Loan</v>
      </c>
      <c r="H593" s="1405"/>
      <c r="I593" s="1405"/>
      <c r="J593" s="1405"/>
      <c r="K593" s="1405"/>
      <c r="L593" s="1405"/>
      <c r="M593" s="1405"/>
      <c r="N593" s="1405"/>
      <c r="O593" s="1405"/>
      <c r="P593" s="1405"/>
      <c r="Q593" s="1405"/>
      <c r="R593" s="1405"/>
      <c r="T593" s="55" t="s">
        <v>1486</v>
      </c>
      <c r="U593" t="s">
        <v>1494</v>
      </c>
      <c r="Z593" s="1421" t="str">
        <f>C567</f>
        <v>LACDA BV I&amp;II Assumed Soft Loan</v>
      </c>
      <c r="AA593" s="1405"/>
      <c r="AB593" s="1405"/>
      <c r="AC593" s="1405"/>
      <c r="AD593" s="1405"/>
      <c r="AE593" s="1405"/>
      <c r="AF593" s="1405"/>
      <c r="AG593" s="1405"/>
      <c r="AH593" s="1405"/>
      <c r="AI593" s="1405"/>
      <c r="AJ593" s="1405"/>
      <c r="AK593" s="1405"/>
      <c r="BB593" s="3"/>
      <c r="BC593" s="3"/>
    </row>
    <row r="594" spans="1:55" ht="12.9" customHeight="1">
      <c r="A594" s="22"/>
      <c r="B594" t="s">
        <v>1181</v>
      </c>
      <c r="G594" s="1389" t="s">
        <v>2753</v>
      </c>
      <c r="H594" s="1294"/>
      <c r="I594" s="1294"/>
      <c r="J594" s="1294"/>
      <c r="K594" s="1294"/>
      <c r="L594" s="1294"/>
      <c r="M594" s="1294"/>
      <c r="N594" s="1294"/>
      <c r="O594" s="1294"/>
      <c r="P594" s="1294"/>
      <c r="Q594" s="1294"/>
      <c r="R594" s="1294"/>
      <c r="T594" s="22"/>
      <c r="U594" t="s">
        <v>1181</v>
      </c>
      <c r="Z594" s="1389" t="s">
        <v>2754</v>
      </c>
      <c r="AA594" s="1294"/>
      <c r="AB594" s="1294"/>
      <c r="AC594" s="1294"/>
      <c r="AD594" s="1294"/>
      <c r="AE594" s="1294"/>
      <c r="AF594" s="1294"/>
      <c r="AG594" s="1294"/>
      <c r="AH594" s="1294"/>
      <c r="AI594" s="1294"/>
      <c r="AJ594" s="1294"/>
      <c r="AK594" s="1294"/>
      <c r="BB594" s="3"/>
      <c r="BC594" s="3"/>
    </row>
    <row r="595" spans="1:55" ht="12.9" customHeight="1">
      <c r="A595" s="22"/>
      <c r="B595" t="s">
        <v>1049</v>
      </c>
      <c r="G595" s="1389" t="s">
        <v>911</v>
      </c>
      <c r="H595" s="1294"/>
      <c r="I595" s="1294"/>
      <c r="J595" s="1294"/>
      <c r="K595" s="1294"/>
      <c r="L595" s="1294"/>
      <c r="M595" s="1294"/>
      <c r="N595" s="1294"/>
      <c r="O595" s="1294"/>
      <c r="P595" s="1294"/>
      <c r="Q595" s="1294"/>
      <c r="R595" s="1294"/>
      <c r="T595" s="22"/>
      <c r="U595" t="s">
        <v>1049</v>
      </c>
      <c r="Z595" s="1400" t="s">
        <v>911</v>
      </c>
      <c r="AA595" s="1374"/>
      <c r="AB595" s="1374"/>
      <c r="AC595" s="1374"/>
      <c r="AD595" s="1374"/>
      <c r="AE595" s="1374"/>
      <c r="AF595" s="1374"/>
      <c r="AG595" s="1374"/>
      <c r="AH595" s="1374"/>
      <c r="AI595" s="1374"/>
      <c r="AJ595" s="1374"/>
      <c r="AK595" s="1374"/>
      <c r="BB595" s="3"/>
      <c r="BC595" s="3"/>
    </row>
    <row r="596" spans="1:55" ht="12.9" customHeight="1">
      <c r="A596" s="22"/>
      <c r="B596" t="s">
        <v>1497</v>
      </c>
      <c r="G596" s="1389" t="s">
        <v>2752</v>
      </c>
      <c r="H596" s="1294"/>
      <c r="I596" s="1294"/>
      <c r="J596" s="1294"/>
      <c r="K596" s="1294"/>
      <c r="L596" s="1294"/>
      <c r="M596" s="1294"/>
      <c r="N596" s="1294"/>
      <c r="O596" s="1294"/>
      <c r="P596" s="1294"/>
      <c r="Q596" s="1294"/>
      <c r="R596" s="1294"/>
      <c r="T596" s="22"/>
      <c r="U596" t="s">
        <v>1497</v>
      </c>
      <c r="Z596" s="1400" t="s">
        <v>2755</v>
      </c>
      <c r="AA596" s="1374"/>
      <c r="AB596" s="1374"/>
      <c r="AC596" s="1374"/>
      <c r="AD596" s="1374"/>
      <c r="AE596" s="1374"/>
      <c r="AF596" s="1374"/>
      <c r="AG596" s="1374"/>
      <c r="AH596" s="1374"/>
      <c r="AI596" s="1374"/>
      <c r="AJ596" s="1374"/>
      <c r="AK596" s="1374"/>
    </row>
    <row r="597" spans="1:55" ht="12.9" customHeight="1">
      <c r="A597" s="22"/>
      <c r="B597" t="s">
        <v>948</v>
      </c>
      <c r="G597" s="1430">
        <v>2138088538</v>
      </c>
      <c r="H597" s="1374"/>
      <c r="I597" s="1374"/>
      <c r="J597" s="1374"/>
      <c r="K597" s="1374"/>
      <c r="L597" s="1374"/>
      <c r="O597" s="33" t="s">
        <v>1188</v>
      </c>
      <c r="P597" s="1440"/>
      <c r="Q597" s="1374"/>
      <c r="R597" s="1374"/>
      <c r="T597" s="22"/>
      <c r="U597" t="s">
        <v>948</v>
      </c>
      <c r="Z597" s="1459">
        <v>6265861897</v>
      </c>
      <c r="AA597" s="1374"/>
      <c r="AB597" s="1374"/>
      <c r="AC597" s="1374"/>
      <c r="AD597" s="1374"/>
      <c r="AE597" s="1374"/>
      <c r="AH597" s="33" t="s">
        <v>1188</v>
      </c>
      <c r="AI597" s="1440"/>
      <c r="AJ597" s="1374"/>
      <c r="AK597" s="1374"/>
      <c r="AZ597" s="3"/>
      <c r="BA597" s="3"/>
      <c r="BB597" s="3"/>
      <c r="BC597" s="3"/>
    </row>
    <row r="598" spans="1:55" ht="12.9" customHeight="1">
      <c r="A598" s="22"/>
      <c r="B598" t="s">
        <v>1500</v>
      </c>
      <c r="H598" s="1389" t="s">
        <v>2738</v>
      </c>
      <c r="I598" s="1294"/>
      <c r="J598" s="1294"/>
      <c r="K598" s="1294"/>
      <c r="L598" s="1294"/>
      <c r="M598" s="1294"/>
      <c r="N598" s="1294"/>
      <c r="O598" s="1294"/>
      <c r="P598" s="1294"/>
      <c r="Q598" s="1294"/>
      <c r="R598" s="1294"/>
      <c r="T598" s="22"/>
      <c r="U598" t="s">
        <v>1500</v>
      </c>
      <c r="AA598" s="1389" t="s">
        <v>2738</v>
      </c>
      <c r="AB598" s="1294"/>
      <c r="AC598" s="1294"/>
      <c r="AD598" s="1294"/>
      <c r="AE598" s="1294"/>
      <c r="AF598" s="1294"/>
      <c r="AG598" s="1294"/>
      <c r="AH598" s="1294"/>
      <c r="AI598" s="1294"/>
      <c r="AJ598" s="1294"/>
      <c r="AK598" s="1294"/>
      <c r="AZ598" s="3"/>
      <c r="BA598" s="3"/>
      <c r="BB598" s="3"/>
      <c r="BC598" s="3"/>
    </row>
    <row r="599" spans="1:55" ht="12.9" customHeight="1">
      <c r="A599" s="22"/>
      <c r="B599" t="s">
        <v>1502</v>
      </c>
      <c r="N599" s="1401" t="s">
        <v>969</v>
      </c>
      <c r="O599" s="1294"/>
      <c r="T599" s="22"/>
      <c r="U599" t="s">
        <v>1502</v>
      </c>
      <c r="AG599" s="1401" t="s">
        <v>969</v>
      </c>
      <c r="AH599" s="1294"/>
      <c r="AZ599" s="3"/>
      <c r="BA599" s="3"/>
      <c r="BB599" s="3"/>
      <c r="BC599" s="3"/>
    </row>
    <row r="600" spans="1:55" ht="12.9" customHeight="1">
      <c r="A600" s="22"/>
      <c r="T600" s="22"/>
      <c r="AZ600" s="3"/>
      <c r="BA600" s="3"/>
      <c r="BB600" s="3"/>
      <c r="BC600" s="3"/>
    </row>
    <row r="601" spans="1:55" ht="12.9" customHeight="1">
      <c r="A601" s="55" t="s">
        <v>1487</v>
      </c>
      <c r="B601" t="s">
        <v>1494</v>
      </c>
      <c r="G601" s="1421" t="str">
        <f>C568</f>
        <v>Deferred Costs</v>
      </c>
      <c r="H601" s="1405"/>
      <c r="I601" s="1405"/>
      <c r="J601" s="1405"/>
      <c r="K601" s="1405"/>
      <c r="L601" s="1405"/>
      <c r="M601" s="1405"/>
      <c r="N601" s="1405"/>
      <c r="O601" s="1405"/>
      <c r="P601" s="1405"/>
      <c r="Q601" s="1405"/>
      <c r="R601" s="1405"/>
      <c r="T601" s="55" t="s">
        <v>1488</v>
      </c>
      <c r="U601" t="s">
        <v>1494</v>
      </c>
      <c r="Z601" s="1421">
        <f>C569</f>
        <v>0</v>
      </c>
      <c r="AA601" s="1405"/>
      <c r="AB601" s="1405"/>
      <c r="AC601" s="1405"/>
      <c r="AD601" s="1405"/>
      <c r="AE601" s="1405"/>
      <c r="AF601" s="1405"/>
      <c r="AG601" s="1405"/>
      <c r="AH601" s="1405"/>
      <c r="AI601" s="1405"/>
      <c r="AJ601" s="1405"/>
      <c r="AK601" s="1405"/>
      <c r="AZ601" s="3"/>
      <c r="BA601" s="3"/>
      <c r="BB601" s="3"/>
      <c r="BC601" s="3"/>
    </row>
    <row r="602" spans="1:55" s="4" customFormat="1" ht="12.9" customHeight="1">
      <c r="A602" s="22"/>
      <c r="B602" t="s">
        <v>1181</v>
      </c>
      <c r="G602" s="1393" t="s">
        <v>2750</v>
      </c>
      <c r="H602" s="1294"/>
      <c r="I602" s="1294"/>
      <c r="J602" s="1294"/>
      <c r="K602" s="1294"/>
      <c r="L602" s="1294"/>
      <c r="M602" s="1294"/>
      <c r="N602" s="1294"/>
      <c r="O602" s="1294"/>
      <c r="P602" s="1294"/>
      <c r="Q602" s="1294"/>
      <c r="R602" s="1294"/>
      <c r="T602" s="22"/>
      <c r="U602" t="s">
        <v>1181</v>
      </c>
      <c r="Z602" s="1389"/>
      <c r="AA602" s="1294"/>
      <c r="AB602" s="1294"/>
      <c r="AC602" s="1294"/>
      <c r="AD602" s="1294"/>
      <c r="AE602" s="1294"/>
      <c r="AF602" s="1294"/>
      <c r="AG602" s="1294"/>
      <c r="AH602" s="1294"/>
      <c r="AI602" s="1294"/>
      <c r="AJ602" s="1294"/>
      <c r="AK602" s="1294"/>
      <c r="AZ602" s="3"/>
      <c r="BA602" s="3"/>
      <c r="BB602" s="3"/>
      <c r="BC602" s="3"/>
    </row>
    <row r="603" spans="1:55" s="4" customFormat="1" ht="12.9" customHeight="1">
      <c r="A603" s="22"/>
      <c r="B603" t="s">
        <v>1049</v>
      </c>
      <c r="G603" s="1393" t="s">
        <v>1217</v>
      </c>
      <c r="H603" s="1294"/>
      <c r="I603" s="1294"/>
      <c r="J603" s="1294"/>
      <c r="K603" s="1294"/>
      <c r="L603" s="1294"/>
      <c r="M603" s="1294"/>
      <c r="N603" s="1294"/>
      <c r="O603" s="1294"/>
      <c r="P603" s="1294"/>
      <c r="Q603" s="1294"/>
      <c r="R603" s="1294"/>
      <c r="T603" s="22"/>
      <c r="U603" t="s">
        <v>1049</v>
      </c>
      <c r="Z603" s="1400"/>
      <c r="AA603" s="1374"/>
      <c r="AB603" s="1374"/>
      <c r="AC603" s="1374"/>
      <c r="AD603" s="1374"/>
      <c r="AE603" s="1374"/>
      <c r="AF603" s="1374"/>
      <c r="AG603" s="1374"/>
      <c r="AH603" s="1374"/>
      <c r="AI603" s="1374"/>
      <c r="AJ603" s="1374"/>
      <c r="AK603" s="1374"/>
      <c r="AZ603" s="3"/>
      <c r="BA603" s="3"/>
      <c r="BB603" s="3"/>
      <c r="BC603" s="3"/>
    </row>
    <row r="604" spans="1:55" s="4" customFormat="1" ht="12.9" customHeight="1">
      <c r="A604" s="22"/>
      <c r="B604" t="s">
        <v>1497</v>
      </c>
      <c r="G604" s="1393" t="s">
        <v>1186</v>
      </c>
      <c r="H604" s="1294"/>
      <c r="I604" s="1294"/>
      <c r="J604" s="1294"/>
      <c r="K604" s="1294"/>
      <c r="L604" s="1294"/>
      <c r="M604" s="1294"/>
      <c r="N604" s="1294"/>
      <c r="O604" s="1294"/>
      <c r="P604" s="1294"/>
      <c r="Q604" s="1294"/>
      <c r="R604" s="1294"/>
      <c r="T604" s="22"/>
      <c r="U604" t="s">
        <v>1497</v>
      </c>
      <c r="Z604" s="1400"/>
      <c r="AA604" s="1374"/>
      <c r="AB604" s="1374"/>
      <c r="AC604" s="1374"/>
      <c r="AD604" s="1374"/>
      <c r="AE604" s="1374"/>
      <c r="AF604" s="1374"/>
      <c r="AG604" s="1374"/>
      <c r="AH604" s="1374"/>
      <c r="AI604" s="1374"/>
      <c r="AJ604" s="1374"/>
      <c r="AK604" s="1374"/>
      <c r="BB604" s="3"/>
      <c r="BC604" s="3"/>
    </row>
    <row r="605" spans="1:55" s="4" customFormat="1" ht="12.9" customHeight="1">
      <c r="A605" s="22"/>
      <c r="B605" t="s">
        <v>948</v>
      </c>
      <c r="G605" s="1459" t="s">
        <v>2751</v>
      </c>
      <c r="H605" s="1374"/>
      <c r="I605" s="1374"/>
      <c r="J605" s="1374"/>
      <c r="K605" s="1374"/>
      <c r="L605" s="1374"/>
      <c r="O605" s="33" t="s">
        <v>1188</v>
      </c>
      <c r="P605" s="1440"/>
      <c r="Q605" s="1374"/>
      <c r="R605" s="1374"/>
      <c r="T605" s="22"/>
      <c r="U605" t="s">
        <v>948</v>
      </c>
      <c r="Z605" s="1430"/>
      <c r="AA605" s="1374"/>
      <c r="AB605" s="1374"/>
      <c r="AC605" s="1374"/>
      <c r="AD605" s="1374"/>
      <c r="AE605" s="1374"/>
      <c r="AH605" s="33" t="s">
        <v>1188</v>
      </c>
      <c r="AI605" s="1440"/>
      <c r="AJ605" s="1374"/>
      <c r="AK605" s="1374"/>
      <c r="BB605" s="3"/>
      <c r="BC605" s="3"/>
    </row>
    <row r="606" spans="1:55" s="4" customFormat="1" ht="12.9" customHeight="1">
      <c r="A606" s="22"/>
      <c r="B606" t="s">
        <v>1500</v>
      </c>
      <c r="H606" s="1393" t="s">
        <v>2744</v>
      </c>
      <c r="I606" s="1294"/>
      <c r="J606" s="1294"/>
      <c r="K606" s="1294"/>
      <c r="L606" s="1294"/>
      <c r="M606" s="1294"/>
      <c r="N606" s="1294"/>
      <c r="O606" s="1294"/>
      <c r="P606" s="1294"/>
      <c r="Q606" s="1294"/>
      <c r="R606" s="1294"/>
      <c r="T606" s="22"/>
      <c r="U606" t="s">
        <v>1500</v>
      </c>
      <c r="AA606" s="1389"/>
      <c r="AB606" s="1294"/>
      <c r="AC606" s="1294"/>
      <c r="AD606" s="1294"/>
      <c r="AE606" s="1294"/>
      <c r="AF606" s="1294"/>
      <c r="AG606" s="1294"/>
      <c r="AH606" s="1294"/>
      <c r="AI606" s="1294"/>
      <c r="AJ606" s="1294"/>
      <c r="AK606" s="1294"/>
      <c r="BB606" s="3"/>
      <c r="BC606" s="3"/>
    </row>
    <row r="607" spans="1:55" ht="12.9" customHeight="1">
      <c r="A607" s="22"/>
      <c r="B607" t="s">
        <v>1502</v>
      </c>
      <c r="N607" s="1401" t="s">
        <v>969</v>
      </c>
      <c r="O607" s="1294"/>
      <c r="T607" s="22"/>
      <c r="U607" t="s">
        <v>1502</v>
      </c>
      <c r="AG607" s="1401" t="s">
        <v>811</v>
      </c>
      <c r="AH607" s="1294"/>
      <c r="BB607" s="3"/>
      <c r="BC607" s="3"/>
    </row>
    <row r="608" spans="1:55" ht="12.9" customHeight="1">
      <c r="A608" s="22"/>
      <c r="T608" s="22"/>
      <c r="BB608" s="3"/>
      <c r="BC608" s="3"/>
    </row>
    <row r="609" spans="1:55" ht="12.9" customHeight="1">
      <c r="A609" s="55" t="s">
        <v>1489</v>
      </c>
      <c r="B609" t="s">
        <v>1494</v>
      </c>
      <c r="G609" s="1421">
        <f>C570</f>
        <v>0</v>
      </c>
      <c r="H609" s="1405"/>
      <c r="I609" s="1405"/>
      <c r="J609" s="1405"/>
      <c r="K609" s="1405"/>
      <c r="L609" s="1405"/>
      <c r="M609" s="1405"/>
      <c r="N609" s="1405"/>
      <c r="O609" s="1405"/>
      <c r="P609" s="1405"/>
      <c r="Q609" s="1405"/>
      <c r="R609" s="1405"/>
      <c r="T609" s="55" t="s">
        <v>1490</v>
      </c>
      <c r="U609" t="s">
        <v>1494</v>
      </c>
      <c r="Z609" s="1421">
        <f>C571</f>
        <v>0</v>
      </c>
      <c r="AA609" s="1405"/>
      <c r="AB609" s="1405"/>
      <c r="AC609" s="1405"/>
      <c r="AD609" s="1405"/>
      <c r="AE609" s="1405"/>
      <c r="AF609" s="1405"/>
      <c r="AG609" s="1405"/>
      <c r="AH609" s="1405"/>
      <c r="AI609" s="1405"/>
      <c r="AJ609" s="1405"/>
      <c r="AK609" s="1405"/>
      <c r="BB609" s="3"/>
      <c r="BC609" s="3"/>
    </row>
    <row r="610" spans="1:55" ht="12.9" customHeight="1">
      <c r="A610" s="22"/>
      <c r="B610" t="s">
        <v>1181</v>
      </c>
      <c r="G610" s="1389"/>
      <c r="H610" s="1294"/>
      <c r="I610" s="1294"/>
      <c r="J610" s="1294"/>
      <c r="K610" s="1294"/>
      <c r="L610" s="1294"/>
      <c r="M610" s="1294"/>
      <c r="N610" s="1294"/>
      <c r="O610" s="1294"/>
      <c r="P610" s="1294"/>
      <c r="Q610" s="1294"/>
      <c r="R610" s="1294"/>
      <c r="T610" s="22"/>
      <c r="U610" t="s">
        <v>1181</v>
      </c>
      <c r="Z610" s="1389"/>
      <c r="AA610" s="1294"/>
      <c r="AB610" s="1294"/>
      <c r="AC610" s="1294"/>
      <c r="AD610" s="1294"/>
      <c r="AE610" s="1294"/>
      <c r="AF610" s="1294"/>
      <c r="AG610" s="1294"/>
      <c r="AH610" s="1294"/>
      <c r="AI610" s="1294"/>
      <c r="AJ610" s="1294"/>
      <c r="AK610" s="1294"/>
      <c r="AZ610" s="3"/>
      <c r="BA610" s="3"/>
      <c r="BB610" s="3"/>
      <c r="BC610" s="3"/>
    </row>
    <row r="611" spans="1:55" ht="12.9" customHeight="1">
      <c r="A611" s="22"/>
      <c r="B611" t="s">
        <v>1049</v>
      </c>
      <c r="G611" s="1389"/>
      <c r="H611" s="1294"/>
      <c r="I611" s="1294"/>
      <c r="J611" s="1294"/>
      <c r="K611" s="1294"/>
      <c r="L611" s="1294"/>
      <c r="M611" s="1294"/>
      <c r="N611" s="1294"/>
      <c r="O611" s="1294"/>
      <c r="P611" s="1294"/>
      <c r="Q611" s="1294"/>
      <c r="R611" s="1294"/>
      <c r="T611" s="22"/>
      <c r="U611" t="s">
        <v>1049</v>
      </c>
      <c r="Z611" s="1400"/>
      <c r="AA611" s="1374"/>
      <c r="AB611" s="1374"/>
      <c r="AC611" s="1374"/>
      <c r="AD611" s="1374"/>
      <c r="AE611" s="1374"/>
      <c r="AF611" s="1374"/>
      <c r="AG611" s="1374"/>
      <c r="AH611" s="1374"/>
      <c r="AI611" s="1374"/>
      <c r="AJ611" s="1374"/>
      <c r="AK611" s="1374"/>
      <c r="AZ611" s="3"/>
      <c r="BA611" s="3"/>
      <c r="BB611" s="3"/>
      <c r="BC611" s="3"/>
    </row>
    <row r="612" spans="1:55" ht="12.9" customHeight="1">
      <c r="A612" s="22"/>
      <c r="B612" t="s">
        <v>1497</v>
      </c>
      <c r="G612" s="1389"/>
      <c r="H612" s="1294"/>
      <c r="I612" s="1294"/>
      <c r="J612" s="1294"/>
      <c r="K612" s="1294"/>
      <c r="L612" s="1294"/>
      <c r="M612" s="1294"/>
      <c r="N612" s="1294"/>
      <c r="O612" s="1294"/>
      <c r="P612" s="1294"/>
      <c r="Q612" s="1294"/>
      <c r="R612" s="1294"/>
      <c r="T612" s="22"/>
      <c r="U612" t="s">
        <v>1497</v>
      </c>
      <c r="Z612" s="1400"/>
      <c r="AA612" s="1374"/>
      <c r="AB612" s="1374"/>
      <c r="AC612" s="1374"/>
      <c r="AD612" s="1374"/>
      <c r="AE612" s="1374"/>
      <c r="AF612" s="1374"/>
      <c r="AG612" s="1374"/>
      <c r="AH612" s="1374"/>
      <c r="AI612" s="1374"/>
      <c r="AJ612" s="1374"/>
      <c r="AK612" s="1374"/>
      <c r="AZ612" s="3"/>
      <c r="BA612" s="3"/>
      <c r="BB612" s="3"/>
      <c r="BC612" s="3"/>
    </row>
    <row r="613" spans="1:55" s="4" customFormat="1" ht="12.9" customHeight="1">
      <c r="A613" s="22"/>
      <c r="B613" t="s">
        <v>948</v>
      </c>
      <c r="G613" s="1430"/>
      <c r="H613" s="1374"/>
      <c r="I613" s="1374"/>
      <c r="J613" s="1374"/>
      <c r="K613" s="1374"/>
      <c r="L613" s="1374"/>
      <c r="O613" s="33" t="s">
        <v>1188</v>
      </c>
      <c r="P613" s="1440"/>
      <c r="Q613" s="1374"/>
      <c r="R613" s="1374"/>
      <c r="T613" s="22"/>
      <c r="U613" t="s">
        <v>948</v>
      </c>
      <c r="Z613" s="1430"/>
      <c r="AA613" s="1374"/>
      <c r="AB613" s="1374"/>
      <c r="AC613" s="1374"/>
      <c r="AD613" s="1374"/>
      <c r="AE613" s="1374"/>
      <c r="AH613" s="33" t="s">
        <v>1188</v>
      </c>
      <c r="AI613" s="1440"/>
      <c r="AJ613" s="1374"/>
      <c r="AK613" s="1374"/>
      <c r="AZ613" s="3"/>
      <c r="BA613" s="3"/>
      <c r="BB613" s="3"/>
      <c r="BC613" s="3"/>
    </row>
    <row r="614" spans="1:55" s="4" customFormat="1" ht="12.9" customHeight="1">
      <c r="A614" s="22"/>
      <c r="B614" t="s">
        <v>1500</v>
      </c>
      <c r="H614" s="1389"/>
      <c r="I614" s="1294"/>
      <c r="J614" s="1294"/>
      <c r="K614" s="1294"/>
      <c r="L614" s="1294"/>
      <c r="M614" s="1294"/>
      <c r="N614" s="1294"/>
      <c r="O614" s="1294"/>
      <c r="P614" s="1294"/>
      <c r="Q614" s="1294"/>
      <c r="R614" s="1294"/>
      <c r="T614" s="22"/>
      <c r="U614" t="s">
        <v>1500</v>
      </c>
      <c r="AA614" s="1389"/>
      <c r="AB614" s="1294"/>
      <c r="AC614" s="1294"/>
      <c r="AD614" s="1294"/>
      <c r="AE614" s="1294"/>
      <c r="AF614" s="1294"/>
      <c r="AG614" s="1294"/>
      <c r="AH614" s="1294"/>
      <c r="AI614" s="1294"/>
      <c r="AJ614" s="1294"/>
      <c r="AK614" s="1294"/>
      <c r="AZ614" s="3"/>
      <c r="BA614" s="3"/>
      <c r="BB614" s="3"/>
      <c r="BC614" s="3"/>
    </row>
    <row r="615" spans="1:55" s="4" customFormat="1" ht="12.9" customHeight="1">
      <c r="A615" s="22"/>
      <c r="B615" t="s">
        <v>1502</v>
      </c>
      <c r="N615" s="1401" t="s">
        <v>811</v>
      </c>
      <c r="O615" s="1294"/>
      <c r="T615" s="22"/>
      <c r="U615" t="s">
        <v>1502</v>
      </c>
      <c r="AG615" s="1401" t="s">
        <v>811</v>
      </c>
      <c r="AH615" s="1294"/>
      <c r="AZ615" s="3"/>
      <c r="BA615" s="3"/>
      <c r="BB615" s="3"/>
      <c r="BC615" s="3"/>
    </row>
    <row r="616" spans="1:55" ht="12.9" customHeight="1">
      <c r="A616" s="22"/>
      <c r="T616" s="22"/>
      <c r="AZ616" s="3"/>
      <c r="BA616" s="3"/>
      <c r="BB616" s="3"/>
      <c r="BC616" s="3"/>
    </row>
    <row r="617" spans="1:55" ht="12.9" customHeight="1">
      <c r="A617" s="55" t="s">
        <v>1491</v>
      </c>
      <c r="B617" t="s">
        <v>1494</v>
      </c>
      <c r="G617" s="1421">
        <f>C572</f>
        <v>0</v>
      </c>
      <c r="H617" s="1405"/>
      <c r="I617" s="1405"/>
      <c r="J617" s="1405"/>
      <c r="K617" s="1405"/>
      <c r="L617" s="1405"/>
      <c r="M617" s="1405"/>
      <c r="N617" s="1405"/>
      <c r="O617" s="1405"/>
      <c r="P617" s="1405"/>
      <c r="Q617" s="1405"/>
      <c r="R617" s="1405"/>
      <c r="T617" s="55" t="s">
        <v>1492</v>
      </c>
      <c r="U617" t="s">
        <v>1494</v>
      </c>
      <c r="Z617" s="1421">
        <f>C573</f>
        <v>0</v>
      </c>
      <c r="AA617" s="1405"/>
      <c r="AB617" s="1405"/>
      <c r="AC617" s="1405"/>
      <c r="AD617" s="1405"/>
      <c r="AE617" s="1405"/>
      <c r="AF617" s="1405"/>
      <c r="AG617" s="1405"/>
      <c r="AH617" s="1405"/>
      <c r="AI617" s="1405"/>
      <c r="AJ617" s="1405"/>
      <c r="AK617" s="1405"/>
      <c r="AZ617" s="3"/>
      <c r="BA617" s="3"/>
      <c r="BB617" s="3"/>
      <c r="BC617" s="3"/>
    </row>
    <row r="618" spans="1:55" ht="12.9" customHeight="1">
      <c r="B618" t="s">
        <v>1181</v>
      </c>
      <c r="G618" s="1389"/>
      <c r="H618" s="1294"/>
      <c r="I618" s="1294"/>
      <c r="J618" s="1294"/>
      <c r="K618" s="1294"/>
      <c r="L618" s="1294"/>
      <c r="M618" s="1294"/>
      <c r="N618" s="1294"/>
      <c r="O618" s="1294"/>
      <c r="P618" s="1294"/>
      <c r="Q618" s="1294"/>
      <c r="R618" s="1294"/>
      <c r="U618" t="s">
        <v>1181</v>
      </c>
      <c r="Z618" s="1389"/>
      <c r="AA618" s="1294"/>
      <c r="AB618" s="1294"/>
      <c r="AC618" s="1294"/>
      <c r="AD618" s="1294"/>
      <c r="AE618" s="1294"/>
      <c r="AF618" s="1294"/>
      <c r="AG618" s="1294"/>
      <c r="AH618" s="1294"/>
      <c r="AI618" s="1294"/>
      <c r="AJ618" s="1294"/>
      <c r="AK618" s="1294"/>
      <c r="AZ618" s="3"/>
      <c r="BA618" s="3"/>
      <c r="BB618" s="3"/>
      <c r="BC618" s="3"/>
    </row>
    <row r="619" spans="1:55" ht="12.9" customHeight="1">
      <c r="B619" t="s">
        <v>1049</v>
      </c>
      <c r="G619" s="1389"/>
      <c r="H619" s="1294"/>
      <c r="I619" s="1294"/>
      <c r="J619" s="1294"/>
      <c r="K619" s="1294"/>
      <c r="L619" s="1294"/>
      <c r="M619" s="1294"/>
      <c r="N619" s="1294"/>
      <c r="O619" s="1294"/>
      <c r="P619" s="1294"/>
      <c r="Q619" s="1294"/>
      <c r="R619" s="1294"/>
      <c r="U619" t="s">
        <v>1049</v>
      </c>
      <c r="Z619" s="1400"/>
      <c r="AA619" s="1374"/>
      <c r="AB619" s="1374"/>
      <c r="AC619" s="1374"/>
      <c r="AD619" s="1374"/>
      <c r="AE619" s="1374"/>
      <c r="AF619" s="1374"/>
      <c r="AG619" s="1374"/>
      <c r="AH619" s="1374"/>
      <c r="AI619" s="1374"/>
      <c r="AJ619" s="1374"/>
      <c r="AK619" s="1374"/>
      <c r="AZ619" s="3"/>
      <c r="BA619" s="3"/>
      <c r="BB619" s="3"/>
      <c r="BC619" s="3"/>
    </row>
    <row r="620" spans="1:55" ht="12.9" customHeight="1">
      <c r="B620" t="s">
        <v>1497</v>
      </c>
      <c r="G620" s="1389"/>
      <c r="H620" s="1294"/>
      <c r="I620" s="1294"/>
      <c r="J620" s="1294"/>
      <c r="K620" s="1294"/>
      <c r="L620" s="1294"/>
      <c r="M620" s="1294"/>
      <c r="N620" s="1294"/>
      <c r="O620" s="1294"/>
      <c r="P620" s="1294"/>
      <c r="Q620" s="1294"/>
      <c r="R620" s="1294"/>
      <c r="U620" t="s">
        <v>1497</v>
      </c>
      <c r="Z620" s="1400"/>
      <c r="AA620" s="1374"/>
      <c r="AB620" s="1374"/>
      <c r="AC620" s="1374"/>
      <c r="AD620" s="1374"/>
      <c r="AE620" s="1374"/>
      <c r="AF620" s="1374"/>
      <c r="AG620" s="1374"/>
      <c r="AH620" s="1374"/>
      <c r="AI620" s="1374"/>
      <c r="AJ620" s="1374"/>
      <c r="AK620" s="1374"/>
      <c r="AZ620" s="3"/>
      <c r="BA620" s="3"/>
      <c r="BB620" s="3"/>
      <c r="BC620" s="3"/>
    </row>
    <row r="621" spans="1:55" ht="12.9" customHeight="1">
      <c r="B621" t="s">
        <v>948</v>
      </c>
      <c r="G621" s="1430"/>
      <c r="H621" s="1374"/>
      <c r="I621" s="1374"/>
      <c r="J621" s="1374"/>
      <c r="K621" s="1374"/>
      <c r="L621" s="1374"/>
      <c r="O621" s="33" t="s">
        <v>1188</v>
      </c>
      <c r="P621" s="1440"/>
      <c r="Q621" s="1374"/>
      <c r="R621" s="1374"/>
      <c r="U621" t="s">
        <v>948</v>
      </c>
      <c r="Z621" s="1430"/>
      <c r="AA621" s="1374"/>
      <c r="AB621" s="1374"/>
      <c r="AC621" s="1374"/>
      <c r="AD621" s="1374"/>
      <c r="AE621" s="1374"/>
      <c r="AH621" s="33" t="s">
        <v>1188</v>
      </c>
      <c r="AI621" s="1440"/>
      <c r="AJ621" s="1374"/>
      <c r="AK621" s="1374"/>
      <c r="AZ621" s="3"/>
      <c r="BA621" s="3"/>
      <c r="BB621" s="3"/>
      <c r="BC621" s="3"/>
    </row>
    <row r="622" spans="1:55" ht="12.9" customHeight="1">
      <c r="B622" t="s">
        <v>1500</v>
      </c>
      <c r="H622" s="1389"/>
      <c r="I622" s="1294"/>
      <c r="J622" s="1294"/>
      <c r="K622" s="1294"/>
      <c r="L622" s="1294"/>
      <c r="M622" s="1294"/>
      <c r="N622" s="1294"/>
      <c r="O622" s="1294"/>
      <c r="P622" s="1294"/>
      <c r="Q622" s="1294"/>
      <c r="R622" s="1294"/>
      <c r="U622" t="s">
        <v>1500</v>
      </c>
      <c r="AA622" s="1389"/>
      <c r="AB622" s="1294"/>
      <c r="AC622" s="1294"/>
      <c r="AD622" s="1294"/>
      <c r="AE622" s="1294"/>
      <c r="AF622" s="1294"/>
      <c r="AG622" s="1294"/>
      <c r="AH622" s="1294"/>
      <c r="AI622" s="1294"/>
      <c r="AJ622" s="1294"/>
      <c r="AK622" s="1294"/>
      <c r="AU622" s="895"/>
      <c r="AV622" s="895"/>
      <c r="AW622" s="895"/>
      <c r="AX622" s="895"/>
      <c r="AY622" s="895"/>
      <c r="AZ622" s="3"/>
      <c r="BA622" s="3"/>
      <c r="BB622" s="3"/>
      <c r="BC622" s="3"/>
    </row>
    <row r="623" spans="1:55" ht="12.9" customHeight="1">
      <c r="B623" t="s">
        <v>1502</v>
      </c>
      <c r="N623" s="1401" t="s">
        <v>811</v>
      </c>
      <c r="O623" s="1294"/>
      <c r="U623" t="s">
        <v>1502</v>
      </c>
      <c r="AG623" s="1401" t="s">
        <v>811</v>
      </c>
      <c r="AH623" s="1294"/>
      <c r="AU623" s="895"/>
      <c r="AV623" s="895"/>
      <c r="AW623" s="895"/>
      <c r="AX623" s="895"/>
      <c r="AY623" s="895"/>
      <c r="AZ623" s="3"/>
      <c r="BA623" s="3"/>
      <c r="BB623" s="3"/>
      <c r="BC623" s="3"/>
    </row>
    <row r="624" spans="1:55" ht="12.9" customHeight="1">
      <c r="AZ624" s="3"/>
      <c r="BA624" s="3"/>
      <c r="BB624" s="3"/>
      <c r="BC624" s="3"/>
    </row>
    <row r="625" spans="1:56" ht="12.9" customHeight="1">
      <c r="A625" s="1408" t="s">
        <v>1506</v>
      </c>
      <c r="B625" s="1298"/>
      <c r="C625" s="1298"/>
      <c r="D625" s="1298"/>
      <c r="E625" s="1298"/>
      <c r="F625" s="1298"/>
      <c r="G625" s="1298"/>
      <c r="H625" s="1298"/>
      <c r="I625" s="1298"/>
      <c r="J625" s="1298"/>
      <c r="K625" s="1298"/>
      <c r="L625" s="1298"/>
      <c r="M625" s="1298"/>
      <c r="N625" s="1298"/>
      <c r="O625" s="1298"/>
      <c r="P625" s="1298"/>
      <c r="Q625" s="1298"/>
      <c r="R625" s="1298"/>
      <c r="S625" s="1298"/>
      <c r="T625" s="1298"/>
      <c r="U625" s="1298"/>
      <c r="V625" s="1298"/>
      <c r="W625" s="1298"/>
      <c r="X625" s="1298"/>
      <c r="Y625" s="1298"/>
      <c r="Z625" s="1298"/>
      <c r="AA625" s="1298"/>
      <c r="AB625" s="1298"/>
      <c r="AC625" s="1298"/>
      <c r="AD625" s="1298"/>
      <c r="AE625" s="1298"/>
      <c r="AF625" s="1298"/>
      <c r="AG625" s="1298"/>
      <c r="AH625" s="1298"/>
      <c r="AI625" s="1298"/>
      <c r="AJ625" s="1298"/>
      <c r="AK625" s="1298"/>
      <c r="AL625" s="1298"/>
      <c r="AM625" s="1298"/>
      <c r="AN625" s="1298"/>
      <c r="AO625" s="1298"/>
      <c r="AP625" s="1298"/>
      <c r="AQ625" s="1298"/>
      <c r="AR625" s="1298"/>
      <c r="AS625" s="1298"/>
      <c r="AT625" s="1298"/>
      <c r="AZ625" s="3"/>
      <c r="BA625" s="3"/>
      <c r="BB625" s="3"/>
      <c r="BC625" s="3"/>
    </row>
    <row r="626" spans="1:56" ht="12.9" customHeight="1">
      <c r="A626" s="1298"/>
      <c r="B626" s="1298"/>
      <c r="C626" s="1298"/>
      <c r="D626" s="1298"/>
      <c r="E626" s="1298"/>
      <c r="F626" s="1298"/>
      <c r="G626" s="1298"/>
      <c r="H626" s="1298"/>
      <c r="I626" s="1298"/>
      <c r="J626" s="1298"/>
      <c r="K626" s="1298"/>
      <c r="L626" s="1298"/>
      <c r="M626" s="1298"/>
      <c r="N626" s="1298"/>
      <c r="O626" s="1298"/>
      <c r="P626" s="1298"/>
      <c r="Q626" s="1298"/>
      <c r="R626" s="1298"/>
      <c r="S626" s="1298"/>
      <c r="T626" s="1298"/>
      <c r="U626" s="1298"/>
      <c r="V626" s="1298"/>
      <c r="W626" s="1298"/>
      <c r="X626" s="1298"/>
      <c r="Y626" s="1298"/>
      <c r="Z626" s="1298"/>
      <c r="AA626" s="1298"/>
      <c r="AB626" s="1298"/>
      <c r="AC626" s="1298"/>
      <c r="AD626" s="1298"/>
      <c r="AE626" s="1298"/>
      <c r="AF626" s="1298"/>
      <c r="AG626" s="1298"/>
      <c r="AH626" s="1298"/>
      <c r="AI626" s="1298"/>
      <c r="AJ626" s="1298"/>
      <c r="AK626" s="1298"/>
      <c r="AL626" s="1298"/>
      <c r="AM626" s="1298"/>
      <c r="AN626" s="1298"/>
      <c r="AO626" s="1298"/>
      <c r="AP626" s="1298"/>
      <c r="AQ626" s="1298"/>
      <c r="AR626" s="1298"/>
      <c r="AS626" s="1298"/>
      <c r="AT626" s="1298"/>
      <c r="AZ626" s="3"/>
      <c r="BA626" s="3"/>
      <c r="BB626" s="3"/>
      <c r="BC626" s="3"/>
    </row>
    <row r="627" spans="1:56" ht="12.9" customHeight="1">
      <c r="AZ627" s="3"/>
      <c r="BA627" s="3"/>
      <c r="BB627" s="3"/>
      <c r="BC627" s="3"/>
    </row>
    <row r="628" spans="1:56" ht="12.9" customHeight="1">
      <c r="A628" s="2" t="s">
        <v>994</v>
      </c>
      <c r="B628" s="2"/>
      <c r="C628" s="2" t="s">
        <v>287</v>
      </c>
      <c r="AZ628" s="3"/>
      <c r="BA628" s="3"/>
      <c r="BB628" s="3"/>
      <c r="BC628" s="3"/>
    </row>
    <row r="629" spans="1:56" ht="12.9" customHeight="1">
      <c r="A629" s="2"/>
      <c r="B629" s="2"/>
      <c r="C629" s="2"/>
      <c r="AZ629" s="3"/>
      <c r="BA629" s="3"/>
      <c r="BB629" s="3"/>
      <c r="BC629" s="3"/>
    </row>
    <row r="630" spans="1:56" ht="12.9" customHeight="1">
      <c r="C630" s="2" t="s">
        <v>1474</v>
      </c>
      <c r="AZ630" s="3"/>
      <c r="BA630" s="3"/>
      <c r="BB630" s="3"/>
      <c r="BC630" s="3"/>
    </row>
    <row r="631" spans="1:56" ht="12.9" customHeight="1">
      <c r="B631" s="512"/>
      <c r="C631" s="2"/>
      <c r="AU631" s="3"/>
      <c r="AZ631" s="3"/>
      <c r="BA631" s="3"/>
      <c r="BB631" s="3"/>
      <c r="BC631" s="3"/>
    </row>
    <row r="632" spans="1:56" ht="12.9" customHeight="1">
      <c r="B632" s="1647" t="s">
        <v>1475</v>
      </c>
      <c r="C632" s="1417"/>
      <c r="D632" s="1417"/>
      <c r="E632" s="1417"/>
      <c r="F632" s="1417"/>
      <c r="G632" s="1417"/>
      <c r="H632" s="1417"/>
      <c r="I632" s="1417"/>
      <c r="J632" s="1417"/>
      <c r="K632" s="1417"/>
      <c r="L632" s="1423"/>
      <c r="M632" s="1432" t="s">
        <v>1476</v>
      </c>
      <c r="N632" s="1417"/>
      <c r="O632" s="1417"/>
      <c r="P632" s="1423"/>
      <c r="Q632" s="1432" t="s">
        <v>1507</v>
      </c>
      <c r="R632" s="1417"/>
      <c r="S632" s="1423"/>
      <c r="T632" s="1432" t="s">
        <v>1508</v>
      </c>
      <c r="U632" s="1417"/>
      <c r="V632" s="1423"/>
      <c r="W632" s="1567" t="s">
        <v>1479</v>
      </c>
      <c r="X632" s="1417"/>
      <c r="Y632" s="1423"/>
      <c r="Z632" s="1580" t="s">
        <v>1509</v>
      </c>
      <c r="AA632" s="1417"/>
      <c r="AB632" s="1423"/>
      <c r="AC632" s="1495" t="s">
        <v>1481</v>
      </c>
      <c r="AD632" s="1417"/>
      <c r="AE632" s="1423"/>
      <c r="AF632" s="1432" t="s">
        <v>1510</v>
      </c>
      <c r="AG632" s="1417"/>
      <c r="AH632" s="1417"/>
      <c r="AI632" s="1417"/>
      <c r="AJ632" s="1423"/>
      <c r="AK632" s="1656" t="s">
        <v>1511</v>
      </c>
      <c r="AL632" s="1417"/>
      <c r="AM632" s="1417"/>
      <c r="AN632" s="1423"/>
      <c r="AO632" s="1432" t="s">
        <v>1483</v>
      </c>
      <c r="AP632" s="1417"/>
      <c r="AQ632" s="1417"/>
      <c r="AR632" s="1417"/>
      <c r="AS632" s="1423"/>
      <c r="AU632" s="3"/>
      <c r="AZ632" s="3"/>
      <c r="BA632" s="3"/>
      <c r="BB632" s="3"/>
      <c r="BC632" s="3"/>
    </row>
    <row r="633" spans="1:56" ht="12.9" customHeight="1">
      <c r="B633" s="1403"/>
      <c r="C633" s="1298"/>
      <c r="D633" s="1298"/>
      <c r="E633" s="1298"/>
      <c r="F633" s="1298"/>
      <c r="G633" s="1298"/>
      <c r="H633" s="1298"/>
      <c r="I633" s="1298"/>
      <c r="J633" s="1298"/>
      <c r="K633" s="1298"/>
      <c r="L633" s="1383"/>
      <c r="M633" s="1403"/>
      <c r="N633" s="1298"/>
      <c r="O633" s="1298"/>
      <c r="P633" s="1383"/>
      <c r="Q633" s="1403"/>
      <c r="R633" s="1298"/>
      <c r="S633" s="1383"/>
      <c r="T633" s="1403"/>
      <c r="U633" s="1298"/>
      <c r="V633" s="1383"/>
      <c r="W633" s="1403"/>
      <c r="X633" s="1298"/>
      <c r="Y633" s="1383"/>
      <c r="Z633" s="1298"/>
      <c r="AA633" s="1298"/>
      <c r="AB633" s="1383"/>
      <c r="AC633" s="1403"/>
      <c r="AD633" s="1298"/>
      <c r="AE633" s="1383"/>
      <c r="AF633" s="1403"/>
      <c r="AG633" s="1298"/>
      <c r="AH633" s="1298"/>
      <c r="AI633" s="1298"/>
      <c r="AJ633" s="1383"/>
      <c r="AK633" s="1403"/>
      <c r="AL633" s="1298"/>
      <c r="AM633" s="1298"/>
      <c r="AN633" s="1383"/>
      <c r="AO633" s="1403"/>
      <c r="AP633" s="1298"/>
      <c r="AQ633" s="1298"/>
      <c r="AR633" s="1298"/>
      <c r="AS633" s="1383"/>
      <c r="AU633" s="3"/>
      <c r="AZ633" s="3"/>
      <c r="BA633" s="3"/>
      <c r="BB633" s="3"/>
      <c r="BC633" s="3"/>
      <c r="BD633" s="3"/>
    </row>
    <row r="634" spans="1:56" ht="12.9" customHeight="1">
      <c r="B634" s="1404"/>
      <c r="C634" s="1405"/>
      <c r="D634" s="1405"/>
      <c r="E634" s="1405"/>
      <c r="F634" s="1405"/>
      <c r="G634" s="1405"/>
      <c r="H634" s="1405"/>
      <c r="I634" s="1405"/>
      <c r="J634" s="1405"/>
      <c r="K634" s="1405"/>
      <c r="L634" s="1296"/>
      <c r="M634" s="1404"/>
      <c r="N634" s="1405"/>
      <c r="O634" s="1405"/>
      <c r="P634" s="1296"/>
      <c r="Q634" s="1404"/>
      <c r="R634" s="1405"/>
      <c r="S634" s="1296"/>
      <c r="T634" s="1404"/>
      <c r="U634" s="1405"/>
      <c r="V634" s="1296"/>
      <c r="W634" s="1404"/>
      <c r="X634" s="1405"/>
      <c r="Y634" s="1296"/>
      <c r="Z634" s="1405"/>
      <c r="AA634" s="1405"/>
      <c r="AB634" s="1296"/>
      <c r="AC634" s="1404"/>
      <c r="AD634" s="1405"/>
      <c r="AE634" s="1296"/>
      <c r="AF634" s="1404"/>
      <c r="AG634" s="1405"/>
      <c r="AH634" s="1405"/>
      <c r="AI634" s="1405"/>
      <c r="AJ634" s="1296"/>
      <c r="AK634" s="1404"/>
      <c r="AL634" s="1405"/>
      <c r="AM634" s="1405"/>
      <c r="AN634" s="1296"/>
      <c r="AO634" s="1404"/>
      <c r="AP634" s="1405"/>
      <c r="AQ634" s="1405"/>
      <c r="AR634" s="1405"/>
      <c r="AS634" s="1296"/>
      <c r="AT634" s="3"/>
      <c r="AU634" s="3"/>
      <c r="AZ634" s="3"/>
      <c r="BA634" s="3"/>
      <c r="BB634" s="3"/>
      <c r="BC634" s="3"/>
      <c r="BD634" s="3"/>
    </row>
    <row r="635" spans="1:56" ht="12.9" customHeight="1">
      <c r="B635" s="51" t="s">
        <v>130</v>
      </c>
      <c r="C635" s="1429" t="s">
        <v>1512</v>
      </c>
      <c r="D635" s="1374"/>
      <c r="E635" s="1374"/>
      <c r="F635" s="1374"/>
      <c r="G635" s="1374"/>
      <c r="H635" s="1374"/>
      <c r="I635" s="1374"/>
      <c r="J635" s="1374"/>
      <c r="K635" s="1374"/>
      <c r="L635" s="1374"/>
      <c r="M635" s="1460" t="s">
        <v>1458</v>
      </c>
      <c r="N635" s="1374"/>
      <c r="O635" s="1374"/>
      <c r="P635" s="1375"/>
      <c r="Q635" s="1568">
        <v>204</v>
      </c>
      <c r="R635" s="1374"/>
      <c r="S635" s="1375"/>
      <c r="T635" s="1378">
        <v>480</v>
      </c>
      <c r="U635" s="1374"/>
      <c r="V635" s="1375"/>
      <c r="W635" s="1515">
        <v>6.4199999999999993E-2</v>
      </c>
      <c r="X635" s="1374"/>
      <c r="Y635" s="1375"/>
      <c r="Z635" s="1452" t="s">
        <v>1516</v>
      </c>
      <c r="AA635" s="1374"/>
      <c r="AB635" s="1375"/>
      <c r="AC635" s="1415">
        <v>1</v>
      </c>
      <c r="AD635" s="1374"/>
      <c r="AE635" s="1375"/>
      <c r="AF635" s="1412">
        <v>389603</v>
      </c>
      <c r="AG635" s="1374"/>
      <c r="AH635" s="1374"/>
      <c r="AI635" s="1374"/>
      <c r="AJ635" s="1375"/>
      <c r="AK635" s="1509">
        <v>0</v>
      </c>
      <c r="AL635" s="1374"/>
      <c r="AM635" s="1374"/>
      <c r="AN635" s="1375"/>
      <c r="AO635" s="1394">
        <v>5600000</v>
      </c>
      <c r="AP635" s="1374"/>
      <c r="AQ635" s="1374"/>
      <c r="AR635" s="1374"/>
      <c r="AS635" s="1375"/>
      <c r="AT635" s="3"/>
      <c r="AU635" s="3"/>
      <c r="AZ635" s="3"/>
      <c r="BA635" s="3"/>
      <c r="BB635" s="3"/>
      <c r="BC635" s="3"/>
      <c r="BD635" s="3"/>
    </row>
    <row r="636" spans="1:56" ht="12.9" customHeight="1">
      <c r="B636" s="52" t="s">
        <v>143</v>
      </c>
      <c r="C636" s="1429" t="s">
        <v>2748</v>
      </c>
      <c r="D636" s="1374"/>
      <c r="E636" s="1374"/>
      <c r="F636" s="1374"/>
      <c r="G636" s="1374"/>
      <c r="H636" s="1374"/>
      <c r="I636" s="1374"/>
      <c r="J636" s="1374"/>
      <c r="K636" s="1374"/>
      <c r="L636" s="1374"/>
      <c r="M636" s="1460" t="s">
        <v>1454</v>
      </c>
      <c r="N636" s="1374"/>
      <c r="O636" s="1374"/>
      <c r="P636" s="1375"/>
      <c r="Q636" s="1378"/>
      <c r="R636" s="1374"/>
      <c r="S636" s="1375"/>
      <c r="T636" s="1378"/>
      <c r="U636" s="1374"/>
      <c r="V636" s="1375"/>
      <c r="W636" s="1515"/>
      <c r="X636" s="1374"/>
      <c r="Y636" s="1375"/>
      <c r="Z636" s="1452" t="s">
        <v>1515</v>
      </c>
      <c r="AA636" s="1374"/>
      <c r="AB636" s="1375"/>
      <c r="AC636" s="1415"/>
      <c r="AD636" s="1374"/>
      <c r="AE636" s="1375"/>
      <c r="AF636" s="1412"/>
      <c r="AG636" s="1374"/>
      <c r="AH636" s="1374"/>
      <c r="AI636" s="1374"/>
      <c r="AJ636" s="1375"/>
      <c r="AK636" s="1509"/>
      <c r="AL636" s="1374"/>
      <c r="AM636" s="1374"/>
      <c r="AN636" s="1375"/>
      <c r="AO636" s="1394">
        <v>4425484</v>
      </c>
      <c r="AP636" s="1374"/>
      <c r="AQ636" s="1374"/>
      <c r="AR636" s="1374"/>
      <c r="AS636" s="1375"/>
      <c r="AT636" s="1140" t="str">
        <f t="shared" ref="AT636:AT646" si="2">IF(AND(NOT(C635=""),C636="",NOT(C637="")),"!","")</f>
        <v/>
      </c>
      <c r="AU636" s="3"/>
      <c r="AZ636" s="3"/>
      <c r="BA636" s="3"/>
      <c r="BB636" s="3"/>
      <c r="BC636" s="3"/>
      <c r="BD636" s="3"/>
    </row>
    <row r="637" spans="1:56" ht="12.9" customHeight="1">
      <c r="B637" s="52" t="s">
        <v>151</v>
      </c>
      <c r="C637" s="1429" t="s">
        <v>2747</v>
      </c>
      <c r="D637" s="1374"/>
      <c r="E637" s="1374"/>
      <c r="F637" s="1374"/>
      <c r="G637" s="1374"/>
      <c r="H637" s="1374"/>
      <c r="I637" s="1374"/>
      <c r="J637" s="1374"/>
      <c r="K637" s="1374"/>
      <c r="L637" s="1374"/>
      <c r="M637" s="1460" t="s">
        <v>1454</v>
      </c>
      <c r="N637" s="1374"/>
      <c r="O637" s="1374"/>
      <c r="P637" s="1375"/>
      <c r="Q637" s="1378"/>
      <c r="R637" s="1374"/>
      <c r="S637" s="1375"/>
      <c r="T637" s="1378"/>
      <c r="U637" s="1374"/>
      <c r="V637" s="1375"/>
      <c r="W637" s="1515"/>
      <c r="X637" s="1374"/>
      <c r="Y637" s="1375"/>
      <c r="Z637" s="1452" t="s">
        <v>1515</v>
      </c>
      <c r="AA637" s="1374"/>
      <c r="AB637" s="1375"/>
      <c r="AC637" s="1415"/>
      <c r="AD637" s="1374"/>
      <c r="AE637" s="1375"/>
      <c r="AF637" s="1412"/>
      <c r="AG637" s="1374"/>
      <c r="AH637" s="1374"/>
      <c r="AI637" s="1374"/>
      <c r="AJ637" s="1375"/>
      <c r="AK637" s="1509"/>
      <c r="AL637" s="1374"/>
      <c r="AM637" s="1374"/>
      <c r="AN637" s="1375"/>
      <c r="AO637" s="1394">
        <v>5694201</v>
      </c>
      <c r="AP637" s="1374"/>
      <c r="AQ637" s="1374"/>
      <c r="AR637" s="1374"/>
      <c r="AS637" s="1375"/>
      <c r="AT637" s="1140" t="str">
        <f t="shared" si="2"/>
        <v/>
      </c>
      <c r="AU637" s="3"/>
      <c r="AZ637" s="3"/>
      <c r="BA637" s="3"/>
      <c r="BB637" s="3"/>
      <c r="BC637" s="3"/>
      <c r="BD637" s="3"/>
    </row>
    <row r="638" spans="1:56" ht="12.9" customHeight="1">
      <c r="B638" s="52" t="s">
        <v>194</v>
      </c>
      <c r="C638" s="1429" t="s">
        <v>2749</v>
      </c>
      <c r="D638" s="1374"/>
      <c r="E638" s="1374"/>
      <c r="F638" s="1374"/>
      <c r="G638" s="1374"/>
      <c r="H638" s="1374"/>
      <c r="I638" s="1374"/>
      <c r="J638" s="1374"/>
      <c r="K638" s="1374"/>
      <c r="L638" s="1374"/>
      <c r="M638" s="1460" t="s">
        <v>1454</v>
      </c>
      <c r="N638" s="1374"/>
      <c r="O638" s="1374"/>
      <c r="P638" s="1375"/>
      <c r="Q638" s="1378"/>
      <c r="R638" s="1374"/>
      <c r="S638" s="1375"/>
      <c r="T638" s="1378"/>
      <c r="U638" s="1374"/>
      <c r="V638" s="1375"/>
      <c r="W638" s="1515"/>
      <c r="X638" s="1374"/>
      <c r="Y638" s="1375"/>
      <c r="Z638" s="1452" t="s">
        <v>1515</v>
      </c>
      <c r="AA638" s="1374"/>
      <c r="AB638" s="1375"/>
      <c r="AC638" s="1415"/>
      <c r="AD638" s="1374"/>
      <c r="AE638" s="1375"/>
      <c r="AF638" s="1412"/>
      <c r="AG638" s="1374"/>
      <c r="AH638" s="1374"/>
      <c r="AI638" s="1374"/>
      <c r="AJ638" s="1375"/>
      <c r="AK638" s="1509"/>
      <c r="AL638" s="1374"/>
      <c r="AM638" s="1374"/>
      <c r="AN638" s="1375"/>
      <c r="AO638" s="1394">
        <v>3139430</v>
      </c>
      <c r="AP638" s="1374"/>
      <c r="AQ638" s="1374"/>
      <c r="AR638" s="1374"/>
      <c r="AS638" s="1375"/>
      <c r="AT638" s="1140" t="str">
        <f t="shared" si="2"/>
        <v/>
      </c>
      <c r="AU638" s="3"/>
      <c r="AZ638" s="3"/>
      <c r="BA638" s="3"/>
      <c r="BB638" s="3"/>
      <c r="BC638" s="3"/>
      <c r="BD638" s="3"/>
    </row>
    <row r="639" spans="1:56" ht="12.9" customHeight="1">
      <c r="B639" s="52" t="s">
        <v>198</v>
      </c>
      <c r="C639" s="1429" t="s">
        <v>1513</v>
      </c>
      <c r="D639" s="1374"/>
      <c r="E639" s="1374"/>
      <c r="F639" s="1374"/>
      <c r="G639" s="1374"/>
      <c r="H639" s="1374"/>
      <c r="I639" s="1374"/>
      <c r="J639" s="1374"/>
      <c r="K639" s="1374"/>
      <c r="L639" s="1374"/>
      <c r="M639" s="1460" t="s">
        <v>1439</v>
      </c>
      <c r="N639" s="1374"/>
      <c r="O639" s="1374"/>
      <c r="P639" s="1375"/>
      <c r="Q639" s="1378"/>
      <c r="R639" s="1374"/>
      <c r="S639" s="1375"/>
      <c r="T639" s="1378"/>
      <c r="U639" s="1374"/>
      <c r="V639" s="1375"/>
      <c r="W639" s="1515"/>
      <c r="X639" s="1374"/>
      <c r="Y639" s="1375"/>
      <c r="Z639" s="1452" t="s">
        <v>1514</v>
      </c>
      <c r="AA639" s="1374"/>
      <c r="AB639" s="1375"/>
      <c r="AC639" s="1415"/>
      <c r="AD639" s="1374"/>
      <c r="AE639" s="1375"/>
      <c r="AF639" s="1412"/>
      <c r="AG639" s="1374"/>
      <c r="AH639" s="1374"/>
      <c r="AI639" s="1374"/>
      <c r="AJ639" s="1375"/>
      <c r="AK639" s="1509"/>
      <c r="AL639" s="1374"/>
      <c r="AM639" s="1374"/>
      <c r="AN639" s="1375"/>
      <c r="AO639" s="1394">
        <v>1960379</v>
      </c>
      <c r="AP639" s="1374"/>
      <c r="AQ639" s="1374"/>
      <c r="AR639" s="1374"/>
      <c r="AS639" s="1375"/>
      <c r="AT639" s="1140" t="str">
        <f t="shared" si="2"/>
        <v/>
      </c>
      <c r="AU639" s="3"/>
      <c r="AZ639" s="3"/>
      <c r="BA639" s="3"/>
      <c r="BB639" s="3"/>
      <c r="BC639" s="3"/>
      <c r="BD639" s="3"/>
    </row>
    <row r="640" spans="1:56" ht="12.9" customHeight="1">
      <c r="B640" s="52" t="s">
        <v>1486</v>
      </c>
      <c r="C640" s="1429"/>
      <c r="D640" s="1374"/>
      <c r="E640" s="1374"/>
      <c r="F640" s="1374"/>
      <c r="G640" s="1374"/>
      <c r="H640" s="1374"/>
      <c r="I640" s="1374"/>
      <c r="J640" s="1374"/>
      <c r="K640" s="1374"/>
      <c r="L640" s="1374"/>
      <c r="M640" s="1460" t="s">
        <v>1116</v>
      </c>
      <c r="N640" s="1374"/>
      <c r="O640" s="1374"/>
      <c r="P640" s="1375"/>
      <c r="Q640" s="1378"/>
      <c r="R640" s="1374"/>
      <c r="S640" s="1375"/>
      <c r="T640" s="1378"/>
      <c r="U640" s="1374"/>
      <c r="V640" s="1375"/>
      <c r="W640" s="1515"/>
      <c r="X640" s="1374"/>
      <c r="Y640" s="1375"/>
      <c r="Z640" s="1452" t="s">
        <v>1116</v>
      </c>
      <c r="AA640" s="1374"/>
      <c r="AB640" s="1375"/>
      <c r="AC640" s="1415"/>
      <c r="AD640" s="1374"/>
      <c r="AE640" s="1375"/>
      <c r="AF640" s="1412"/>
      <c r="AG640" s="1374"/>
      <c r="AH640" s="1374"/>
      <c r="AI640" s="1374"/>
      <c r="AJ640" s="1375"/>
      <c r="AK640" s="1509"/>
      <c r="AL640" s="1374"/>
      <c r="AM640" s="1374"/>
      <c r="AN640" s="1375"/>
      <c r="AO640" s="1394"/>
      <c r="AP640" s="1374"/>
      <c r="AQ640" s="1374"/>
      <c r="AR640" s="1374"/>
      <c r="AS640" s="1375"/>
      <c r="AT640" s="1140" t="str">
        <f t="shared" si="2"/>
        <v/>
      </c>
      <c r="AU640" s="3"/>
      <c r="AZ640" s="3"/>
      <c r="BA640" s="3"/>
      <c r="BB640" s="3"/>
      <c r="BC640" s="3"/>
      <c r="BD640" s="3"/>
    </row>
    <row r="641" spans="1:157" ht="12.9" customHeight="1">
      <c r="B641" s="52" t="s">
        <v>1487</v>
      </c>
      <c r="C641" s="1429"/>
      <c r="D641" s="1374"/>
      <c r="E641" s="1374"/>
      <c r="F641" s="1374"/>
      <c r="G641" s="1374"/>
      <c r="H641" s="1374"/>
      <c r="I641" s="1374"/>
      <c r="J641" s="1374"/>
      <c r="K641" s="1374"/>
      <c r="L641" s="1374"/>
      <c r="M641" s="1460" t="s">
        <v>1116</v>
      </c>
      <c r="N641" s="1374"/>
      <c r="O641" s="1374"/>
      <c r="P641" s="1375"/>
      <c r="Q641" s="1378"/>
      <c r="R641" s="1374"/>
      <c r="S641" s="1375"/>
      <c r="T641" s="1378"/>
      <c r="U641" s="1374"/>
      <c r="V641" s="1375"/>
      <c r="W641" s="1515"/>
      <c r="X641" s="1374"/>
      <c r="Y641" s="1375"/>
      <c r="Z641" s="1452" t="s">
        <v>1116</v>
      </c>
      <c r="AA641" s="1374"/>
      <c r="AB641" s="1375"/>
      <c r="AC641" s="1415"/>
      <c r="AD641" s="1374"/>
      <c r="AE641" s="1375"/>
      <c r="AF641" s="1412"/>
      <c r="AG641" s="1374"/>
      <c r="AH641" s="1374"/>
      <c r="AI641" s="1374"/>
      <c r="AJ641" s="1375"/>
      <c r="AK641" s="1509"/>
      <c r="AL641" s="1374"/>
      <c r="AM641" s="1374"/>
      <c r="AN641" s="1375"/>
      <c r="AO641" s="1394"/>
      <c r="AP641" s="1374"/>
      <c r="AQ641" s="1374"/>
      <c r="AR641" s="1374"/>
      <c r="AS641" s="1375"/>
      <c r="AT641" s="1140" t="str">
        <f t="shared" si="2"/>
        <v/>
      </c>
      <c r="AU641" s="3"/>
      <c r="AV641" s="3"/>
      <c r="AW641" s="3"/>
      <c r="AX641" s="3"/>
      <c r="AY641" s="3"/>
      <c r="AZ641" s="3"/>
      <c r="BA641" s="3"/>
      <c r="BB641" s="3"/>
      <c r="BC641" s="3"/>
      <c r="BD641" s="3"/>
    </row>
    <row r="642" spans="1:157" ht="12.9" customHeight="1">
      <c r="B642" s="52" t="s">
        <v>1488</v>
      </c>
      <c r="C642" s="1429"/>
      <c r="D642" s="1374"/>
      <c r="E642" s="1374"/>
      <c r="F642" s="1374"/>
      <c r="G642" s="1374"/>
      <c r="H642" s="1374"/>
      <c r="I642" s="1374"/>
      <c r="J642" s="1374"/>
      <c r="K642" s="1374"/>
      <c r="L642" s="1374"/>
      <c r="M642" s="1460" t="s">
        <v>1116</v>
      </c>
      <c r="N642" s="1374"/>
      <c r="O642" s="1374"/>
      <c r="P642" s="1375"/>
      <c r="Q642" s="1378"/>
      <c r="R642" s="1374"/>
      <c r="S642" s="1375"/>
      <c r="T642" s="1378"/>
      <c r="U642" s="1374"/>
      <c r="V642" s="1375"/>
      <c r="W642" s="1515"/>
      <c r="X642" s="1374"/>
      <c r="Y642" s="1375"/>
      <c r="Z642" s="1452" t="s">
        <v>1116</v>
      </c>
      <c r="AA642" s="1374"/>
      <c r="AB642" s="1375"/>
      <c r="AC642" s="1415"/>
      <c r="AD642" s="1374"/>
      <c r="AE642" s="1375"/>
      <c r="AF642" s="1412"/>
      <c r="AG642" s="1374"/>
      <c r="AH642" s="1374"/>
      <c r="AI642" s="1374"/>
      <c r="AJ642" s="1375"/>
      <c r="AK642" s="1509"/>
      <c r="AL642" s="1374"/>
      <c r="AM642" s="1374"/>
      <c r="AN642" s="1375"/>
      <c r="AO642" s="1394"/>
      <c r="AP642" s="1374"/>
      <c r="AQ642" s="1374"/>
      <c r="AR642" s="1374"/>
      <c r="AS642" s="1375"/>
      <c r="AT642" s="1140" t="str">
        <f t="shared" si="2"/>
        <v/>
      </c>
      <c r="AU642" s="3"/>
      <c r="AV642" s="3"/>
      <c r="AW642" s="3"/>
      <c r="AX642" s="3"/>
      <c r="AY642" s="3"/>
      <c r="AZ642" s="3"/>
      <c r="BA642" s="3" t="s">
        <v>1116</v>
      </c>
      <c r="BB642" s="3"/>
      <c r="BC642" s="3"/>
      <c r="BD642" s="3"/>
    </row>
    <row r="643" spans="1:157" ht="12.9" customHeight="1">
      <c r="B643" s="52" t="s">
        <v>1489</v>
      </c>
      <c r="C643" s="1449"/>
      <c r="D643" s="1374"/>
      <c r="E643" s="1374"/>
      <c r="F643" s="1374"/>
      <c r="G643" s="1374"/>
      <c r="H643" s="1374"/>
      <c r="I643" s="1374"/>
      <c r="J643" s="1374"/>
      <c r="K643" s="1374"/>
      <c r="L643" s="1374"/>
      <c r="M643" s="1460" t="s">
        <v>1116</v>
      </c>
      <c r="N643" s="1374"/>
      <c r="O643" s="1374"/>
      <c r="P643" s="1375"/>
      <c r="Q643" s="1378"/>
      <c r="R643" s="1374"/>
      <c r="S643" s="1375"/>
      <c r="T643" s="1378"/>
      <c r="U643" s="1374"/>
      <c r="V643" s="1375"/>
      <c r="W643" s="1515"/>
      <c r="X643" s="1374"/>
      <c r="Y643" s="1375"/>
      <c r="Z643" s="1452" t="s">
        <v>1116</v>
      </c>
      <c r="AA643" s="1374"/>
      <c r="AB643" s="1375"/>
      <c r="AC643" s="1415"/>
      <c r="AD643" s="1374"/>
      <c r="AE643" s="1375"/>
      <c r="AF643" s="1412"/>
      <c r="AG643" s="1374"/>
      <c r="AH643" s="1374"/>
      <c r="AI643" s="1374"/>
      <c r="AJ643" s="1375"/>
      <c r="AK643" s="1509"/>
      <c r="AL643" s="1374"/>
      <c r="AM643" s="1374"/>
      <c r="AN643" s="1375"/>
      <c r="AO643" s="1394"/>
      <c r="AP643" s="1374"/>
      <c r="AQ643" s="1374"/>
      <c r="AR643" s="1374"/>
      <c r="AS643" s="1375"/>
      <c r="AT643" s="1140" t="str">
        <f t="shared" si="2"/>
        <v/>
      </c>
      <c r="AU643" s="3"/>
      <c r="AV643" s="3"/>
      <c r="AW643" s="3"/>
      <c r="AX643" s="3"/>
      <c r="AY643" s="3"/>
      <c r="AZ643" s="34"/>
      <c r="BA643" s="3" t="s">
        <v>1514</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80" t="e">
        <f t="shared" ref="DX643:DX677" si="3">EZ726*(CP726/$CP$761)</f>
        <v>#VALUE!</v>
      </c>
      <c r="DY643" s="1263"/>
      <c r="DZ643" s="1263"/>
      <c r="EA643" s="1263"/>
      <c r="EB643" s="1264"/>
      <c r="EC643" s="1380">
        <f t="shared" ref="EC643:EC677" si="4">FE726*(CU726/$CU$761)</f>
        <v>67</v>
      </c>
      <c r="ED643" s="1263"/>
      <c r="EE643" s="1263"/>
      <c r="EF643" s="1263"/>
      <c r="EG643" s="1264"/>
      <c r="EH643" s="1380" t="e">
        <f t="shared" ref="EH643:EH677" si="5">FJ726*(CZ726/$CZ$761)</f>
        <v>#VALUE!</v>
      </c>
      <c r="EI643" s="1263"/>
      <c r="EJ643" s="1263"/>
      <c r="EK643" s="1263"/>
      <c r="EL643" s="1264"/>
      <c r="EM643" s="1380" t="e">
        <f t="shared" ref="EM643:EM677" si="6">FO726*(DE726/$DE$761)</f>
        <v>#VALUE!</v>
      </c>
      <c r="EN643" s="1263"/>
      <c r="EO643" s="1263"/>
      <c r="EP643" s="1263"/>
      <c r="EQ643" s="1264"/>
      <c r="ER643" s="1380" t="e">
        <f t="shared" ref="ER643:ER677" si="7">FT726*(DJ726/$DJ$761)</f>
        <v>#VALUE!</v>
      </c>
      <c r="ES643" s="1263"/>
      <c r="ET643" s="1263"/>
      <c r="EU643" s="1263"/>
      <c r="EV643" s="1264"/>
      <c r="EW643" s="1380" t="e">
        <f t="shared" ref="EW643:EW677" si="8">FY726*(DO726/$DO$761)</f>
        <v>#VALUE!</v>
      </c>
      <c r="EX643" s="1263"/>
      <c r="EY643" s="1263"/>
      <c r="EZ643" s="1263"/>
      <c r="FA643" s="1264"/>
    </row>
    <row r="644" spans="1:157" ht="12.9" customHeight="1">
      <c r="B644" s="52" t="s">
        <v>1490</v>
      </c>
      <c r="C644" s="1449"/>
      <c r="D644" s="1374"/>
      <c r="E644" s="1374"/>
      <c r="F644" s="1374"/>
      <c r="G644" s="1374"/>
      <c r="H644" s="1374"/>
      <c r="I644" s="1374"/>
      <c r="J644" s="1374"/>
      <c r="K644" s="1374"/>
      <c r="L644" s="1374"/>
      <c r="M644" s="1460" t="s">
        <v>1116</v>
      </c>
      <c r="N644" s="1374"/>
      <c r="O644" s="1374"/>
      <c r="P644" s="1375"/>
      <c r="Q644" s="1378"/>
      <c r="R644" s="1374"/>
      <c r="S644" s="1375"/>
      <c r="T644" s="1378"/>
      <c r="U644" s="1374"/>
      <c r="V644" s="1375"/>
      <c r="W644" s="1515"/>
      <c r="X644" s="1374"/>
      <c r="Y644" s="1375"/>
      <c r="Z644" s="1452" t="s">
        <v>1116</v>
      </c>
      <c r="AA644" s="1374"/>
      <c r="AB644" s="1375"/>
      <c r="AC644" s="1415"/>
      <c r="AD644" s="1374"/>
      <c r="AE644" s="1375"/>
      <c r="AF644" s="1412"/>
      <c r="AG644" s="1374"/>
      <c r="AH644" s="1374"/>
      <c r="AI644" s="1374"/>
      <c r="AJ644" s="1375"/>
      <c r="AK644" s="1509"/>
      <c r="AL644" s="1374"/>
      <c r="AM644" s="1374"/>
      <c r="AN644" s="1375"/>
      <c r="AO644" s="1394"/>
      <c r="AP644" s="1374"/>
      <c r="AQ644" s="1374"/>
      <c r="AR644" s="1374"/>
      <c r="AS644" s="1375"/>
      <c r="AT644" s="1140" t="str">
        <f t="shared" si="2"/>
        <v/>
      </c>
      <c r="AV644" s="3"/>
      <c r="AW644" s="3"/>
      <c r="AX644" s="3"/>
      <c r="AY644" s="3"/>
      <c r="AZ644" s="34"/>
      <c r="BA644" s="3" t="s">
        <v>1515</v>
      </c>
      <c r="BB644" s="34"/>
      <c r="BC644" s="34"/>
      <c r="BD644" s="34"/>
      <c r="BE644" s="34"/>
      <c r="BF644" s="34"/>
      <c r="BG644" s="34"/>
      <c r="BH644" s="34"/>
      <c r="BI644" s="34"/>
      <c r="BJ644" s="34"/>
      <c r="BK644" s="34"/>
      <c r="BL644" s="34"/>
      <c r="BM644" s="34"/>
      <c r="DA644" s="3"/>
      <c r="DB644" s="3"/>
      <c r="DC644" s="3"/>
      <c r="DD644" s="3"/>
      <c r="DE644" s="3"/>
      <c r="DF644" s="3"/>
      <c r="DX644" s="1380" t="e">
        <f t="shared" si="3"/>
        <v>#VALUE!</v>
      </c>
      <c r="DY644" s="1263"/>
      <c r="DZ644" s="1263"/>
      <c r="EA644" s="1263"/>
      <c r="EB644" s="1264"/>
      <c r="EC644" s="1380">
        <f t="shared" si="4"/>
        <v>102.5</v>
      </c>
      <c r="ED644" s="1263"/>
      <c r="EE644" s="1263"/>
      <c r="EF644" s="1263"/>
      <c r="EG644" s="1264"/>
      <c r="EH644" s="1380" t="e">
        <f t="shared" si="5"/>
        <v>#VALUE!</v>
      </c>
      <c r="EI644" s="1263"/>
      <c r="EJ644" s="1263"/>
      <c r="EK644" s="1263"/>
      <c r="EL644" s="1264"/>
      <c r="EM644" s="1380" t="e">
        <f t="shared" si="6"/>
        <v>#VALUE!</v>
      </c>
      <c r="EN644" s="1263"/>
      <c r="EO644" s="1263"/>
      <c r="EP644" s="1263"/>
      <c r="EQ644" s="1264"/>
      <c r="ER644" s="1380" t="e">
        <f t="shared" si="7"/>
        <v>#VALUE!</v>
      </c>
      <c r="ES644" s="1263"/>
      <c r="ET644" s="1263"/>
      <c r="EU644" s="1263"/>
      <c r="EV644" s="1264"/>
      <c r="EW644" s="1380" t="e">
        <f t="shared" si="8"/>
        <v>#VALUE!</v>
      </c>
      <c r="EX644" s="1263"/>
      <c r="EY644" s="1263"/>
      <c r="EZ644" s="1263"/>
      <c r="FA644" s="1264"/>
    </row>
    <row r="645" spans="1:157" ht="12.9" customHeight="1">
      <c r="B645" s="52" t="s">
        <v>1491</v>
      </c>
      <c r="C645" s="1449"/>
      <c r="D645" s="1374"/>
      <c r="E645" s="1374"/>
      <c r="F645" s="1374"/>
      <c r="G645" s="1374"/>
      <c r="H645" s="1374"/>
      <c r="I645" s="1374"/>
      <c r="J645" s="1374"/>
      <c r="K645" s="1374"/>
      <c r="L645" s="1374"/>
      <c r="M645" s="1460" t="s">
        <v>1116</v>
      </c>
      <c r="N645" s="1374"/>
      <c r="O645" s="1374"/>
      <c r="P645" s="1375"/>
      <c r="Q645" s="1378"/>
      <c r="R645" s="1374"/>
      <c r="S645" s="1375"/>
      <c r="T645" s="1378"/>
      <c r="U645" s="1374"/>
      <c r="V645" s="1375"/>
      <c r="W645" s="1515"/>
      <c r="X645" s="1374"/>
      <c r="Y645" s="1375"/>
      <c r="Z645" s="1452" t="s">
        <v>1116</v>
      </c>
      <c r="AA645" s="1374"/>
      <c r="AB645" s="1375"/>
      <c r="AC645" s="1415"/>
      <c r="AD645" s="1374"/>
      <c r="AE645" s="1375"/>
      <c r="AF645" s="1412"/>
      <c r="AG645" s="1374"/>
      <c r="AH645" s="1374"/>
      <c r="AI645" s="1374"/>
      <c r="AJ645" s="1375"/>
      <c r="AK645" s="1509"/>
      <c r="AL645" s="1374"/>
      <c r="AM645" s="1374"/>
      <c r="AN645" s="1375"/>
      <c r="AO645" s="1394"/>
      <c r="AP645" s="1374"/>
      <c r="AQ645" s="1374"/>
      <c r="AR645" s="1374"/>
      <c r="AS645" s="1375"/>
      <c r="AT645" s="1140" t="str">
        <f t="shared" si="2"/>
        <v/>
      </c>
      <c r="AV645" s="3"/>
      <c r="AW645" s="3"/>
      <c r="AX645" s="3"/>
      <c r="AY645" s="3"/>
      <c r="AZ645" s="34"/>
      <c r="BA645" s="3" t="s">
        <v>1516</v>
      </c>
      <c r="BB645" s="34"/>
      <c r="BC645" s="34"/>
      <c r="BD645" s="34"/>
      <c r="BE645" s="34"/>
      <c r="BF645" s="34"/>
      <c r="BG645" s="34"/>
      <c r="BH645" s="34"/>
      <c r="BI645" s="34"/>
      <c r="BJ645" s="34"/>
      <c r="BK645" s="34"/>
      <c r="BL645" s="34"/>
      <c r="BM645" s="34"/>
      <c r="DA645" s="3"/>
      <c r="DB645" s="3"/>
      <c r="DC645" s="3"/>
      <c r="DD645" s="3"/>
      <c r="DE645" s="3"/>
      <c r="DF645" s="3"/>
      <c r="DX645" s="1380" t="e">
        <f t="shared" si="3"/>
        <v>#VALUE!</v>
      </c>
      <c r="DY645" s="1263"/>
      <c r="DZ645" s="1263"/>
      <c r="EA645" s="1263"/>
      <c r="EB645" s="1264"/>
      <c r="EC645" s="1380">
        <f t="shared" si="4"/>
        <v>138</v>
      </c>
      <c r="ED645" s="1263"/>
      <c r="EE645" s="1263"/>
      <c r="EF645" s="1263"/>
      <c r="EG645" s="1264"/>
      <c r="EH645" s="1380" t="e">
        <f t="shared" si="5"/>
        <v>#VALUE!</v>
      </c>
      <c r="EI645" s="1263"/>
      <c r="EJ645" s="1263"/>
      <c r="EK645" s="1263"/>
      <c r="EL645" s="1264"/>
      <c r="EM645" s="1380" t="e">
        <f t="shared" si="6"/>
        <v>#VALUE!</v>
      </c>
      <c r="EN645" s="1263"/>
      <c r="EO645" s="1263"/>
      <c r="EP645" s="1263"/>
      <c r="EQ645" s="1264"/>
      <c r="ER645" s="1380" t="e">
        <f t="shared" si="7"/>
        <v>#VALUE!</v>
      </c>
      <c r="ES645" s="1263"/>
      <c r="ET645" s="1263"/>
      <c r="EU645" s="1263"/>
      <c r="EV645" s="1264"/>
      <c r="EW645" s="1380" t="e">
        <f t="shared" si="8"/>
        <v>#VALUE!</v>
      </c>
      <c r="EX645" s="1263"/>
      <c r="EY645" s="1263"/>
      <c r="EZ645" s="1263"/>
      <c r="FA645" s="1264"/>
    </row>
    <row r="646" spans="1:157" ht="12.9" customHeight="1">
      <c r="B646" s="52" t="s">
        <v>1492</v>
      </c>
      <c r="C646" s="1449"/>
      <c r="D646" s="1374"/>
      <c r="E646" s="1374"/>
      <c r="F646" s="1374"/>
      <c r="G646" s="1374"/>
      <c r="H646" s="1374"/>
      <c r="I646" s="1374"/>
      <c r="J646" s="1374"/>
      <c r="K646" s="1374"/>
      <c r="L646" s="1374"/>
      <c r="M646" s="1460" t="s">
        <v>1116</v>
      </c>
      <c r="N646" s="1374"/>
      <c r="O646" s="1374"/>
      <c r="P646" s="1375"/>
      <c r="Q646" s="1378"/>
      <c r="R646" s="1374"/>
      <c r="S646" s="1375"/>
      <c r="T646" s="1378"/>
      <c r="U646" s="1374"/>
      <c r="V646" s="1375"/>
      <c r="W646" s="1515"/>
      <c r="X646" s="1374"/>
      <c r="Y646" s="1375"/>
      <c r="Z646" s="1452" t="s">
        <v>1116</v>
      </c>
      <c r="AA646" s="1374"/>
      <c r="AB646" s="1375"/>
      <c r="AC646" s="1415"/>
      <c r="AD646" s="1374"/>
      <c r="AE646" s="1375"/>
      <c r="AF646" s="1412"/>
      <c r="AG646" s="1374"/>
      <c r="AH646" s="1374"/>
      <c r="AI646" s="1374"/>
      <c r="AJ646" s="1375"/>
      <c r="AK646" s="1509"/>
      <c r="AL646" s="1374"/>
      <c r="AM646" s="1374"/>
      <c r="AN646" s="1375"/>
      <c r="AO646" s="1394"/>
      <c r="AP646" s="1374"/>
      <c r="AQ646" s="1374"/>
      <c r="AR646" s="1374"/>
      <c r="AS646" s="1375"/>
      <c r="AT646" s="1140" t="str">
        <f t="shared" si="2"/>
        <v/>
      </c>
      <c r="AV646" s="3"/>
      <c r="AW646" s="3"/>
      <c r="AX646" s="3"/>
      <c r="AY646" s="3"/>
      <c r="AZ646" s="34"/>
      <c r="BA646" s="3" t="s">
        <v>1168</v>
      </c>
      <c r="BB646" s="34"/>
      <c r="BC646" s="34"/>
      <c r="BD646" s="34"/>
      <c r="BE646" s="34"/>
      <c r="BF646" s="34"/>
      <c r="BG646" s="34"/>
      <c r="BH646" s="34"/>
      <c r="BI646" s="34"/>
      <c r="BJ646" s="34"/>
      <c r="BK646" s="34"/>
      <c r="BL646" s="34"/>
      <c r="BM646" s="34"/>
      <c r="DA646" s="3"/>
      <c r="DB646" s="3"/>
      <c r="DC646" s="3"/>
      <c r="DD646" s="3"/>
      <c r="DE646" s="3"/>
      <c r="DF646" s="3"/>
      <c r="DX646" s="1380" t="e">
        <f t="shared" si="3"/>
        <v>#VALUE!</v>
      </c>
      <c r="DY646" s="1263"/>
      <c r="DZ646" s="1263"/>
      <c r="EA646" s="1263"/>
      <c r="EB646" s="1264"/>
      <c r="EC646" s="1380">
        <f t="shared" si="4"/>
        <v>67</v>
      </c>
      <c r="ED646" s="1263"/>
      <c r="EE646" s="1263"/>
      <c r="EF646" s="1263"/>
      <c r="EG646" s="1264"/>
      <c r="EH646" s="1380" t="e">
        <f t="shared" si="5"/>
        <v>#VALUE!</v>
      </c>
      <c r="EI646" s="1263"/>
      <c r="EJ646" s="1263"/>
      <c r="EK646" s="1263"/>
      <c r="EL646" s="1264"/>
      <c r="EM646" s="1380" t="e">
        <f t="shared" si="6"/>
        <v>#VALUE!</v>
      </c>
      <c r="EN646" s="1263"/>
      <c r="EO646" s="1263"/>
      <c r="EP646" s="1263"/>
      <c r="EQ646" s="1264"/>
      <c r="ER646" s="1380" t="e">
        <f t="shared" si="7"/>
        <v>#VALUE!</v>
      </c>
      <c r="ES646" s="1263"/>
      <c r="ET646" s="1263"/>
      <c r="EU646" s="1263"/>
      <c r="EV646" s="1264"/>
      <c r="EW646" s="1380" t="e">
        <f t="shared" si="8"/>
        <v>#VALUE!</v>
      </c>
      <c r="EX646" s="1263"/>
      <c r="EY646" s="1263"/>
      <c r="EZ646" s="1263"/>
      <c r="FA646" s="1264"/>
    </row>
    <row r="647" spans="1:157" ht="12.9" customHeight="1">
      <c r="B647" s="1498" t="s">
        <v>1517</v>
      </c>
      <c r="C647" s="1263"/>
      <c r="D647" s="1263"/>
      <c r="E647" s="1263"/>
      <c r="F647" s="1263"/>
      <c r="G647" s="1263"/>
      <c r="H647" s="1263"/>
      <c r="I647" s="1263"/>
      <c r="J647" s="1263"/>
      <c r="K647" s="1263"/>
      <c r="L647" s="1263"/>
      <c r="M647" s="1263"/>
      <c r="N647" s="1263"/>
      <c r="O647" s="1263"/>
      <c r="P647" s="1263"/>
      <c r="Q647" s="1263"/>
      <c r="R647" s="1263"/>
      <c r="S647" s="1263"/>
      <c r="T647" s="1263"/>
      <c r="U647" s="1263"/>
      <c r="V647" s="1263"/>
      <c r="W647" s="1263"/>
      <c r="X647" s="1263"/>
      <c r="Y647" s="1263"/>
      <c r="Z647" s="1263"/>
      <c r="AA647" s="1263"/>
      <c r="AB647" s="1263"/>
      <c r="AC647" s="1263"/>
      <c r="AD647" s="1263"/>
      <c r="AE647" s="1263"/>
      <c r="AF647" s="1263"/>
      <c r="AG647" s="1263"/>
      <c r="AH647" s="1263"/>
      <c r="AI647" s="1263"/>
      <c r="AJ647" s="1263"/>
      <c r="AK647" s="1263"/>
      <c r="AL647" s="1263"/>
      <c r="AM647" s="1263"/>
      <c r="AN647" s="1264"/>
      <c r="AO647" s="1385">
        <f>SUM(AO635:AR646)</f>
        <v>20819494</v>
      </c>
      <c r="AP647" s="1263"/>
      <c r="AQ647" s="1263"/>
      <c r="AR647" s="1263"/>
      <c r="AS647" s="1264"/>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80" t="e">
        <f t="shared" si="3"/>
        <v>#VALUE!</v>
      </c>
      <c r="DY647" s="1263"/>
      <c r="DZ647" s="1263"/>
      <c r="EA647" s="1263"/>
      <c r="EB647" s="1264"/>
      <c r="EC647" s="1380">
        <f t="shared" si="4"/>
        <v>114.33333333333333</v>
      </c>
      <c r="ED647" s="1263"/>
      <c r="EE647" s="1263"/>
      <c r="EF647" s="1263"/>
      <c r="EG647" s="1264"/>
      <c r="EH647" s="1380" t="e">
        <f t="shared" si="5"/>
        <v>#VALUE!</v>
      </c>
      <c r="EI647" s="1263"/>
      <c r="EJ647" s="1263"/>
      <c r="EK647" s="1263"/>
      <c r="EL647" s="1264"/>
      <c r="EM647" s="1380" t="e">
        <f t="shared" si="6"/>
        <v>#VALUE!</v>
      </c>
      <c r="EN647" s="1263"/>
      <c r="EO647" s="1263"/>
      <c r="EP647" s="1263"/>
      <c r="EQ647" s="1264"/>
      <c r="ER647" s="1380" t="e">
        <f t="shared" si="7"/>
        <v>#VALUE!</v>
      </c>
      <c r="ES647" s="1263"/>
      <c r="ET647" s="1263"/>
      <c r="EU647" s="1263"/>
      <c r="EV647" s="1264"/>
      <c r="EW647" s="1380" t="e">
        <f t="shared" si="8"/>
        <v>#VALUE!</v>
      </c>
      <c r="EX647" s="1263"/>
      <c r="EY647" s="1263"/>
      <c r="EZ647" s="1263"/>
      <c r="FA647" s="1264"/>
    </row>
    <row r="648" spans="1:157" ht="12.9" customHeight="1">
      <c r="B648" s="1498" t="s">
        <v>1518</v>
      </c>
      <c r="C648" s="1263"/>
      <c r="D648" s="1263"/>
      <c r="E648" s="1263"/>
      <c r="F648" s="1263"/>
      <c r="G648" s="1263"/>
      <c r="H648" s="1263"/>
      <c r="I648" s="1263"/>
      <c r="J648" s="1263"/>
      <c r="K648" s="1263"/>
      <c r="L648" s="1263"/>
      <c r="M648" s="1263"/>
      <c r="N648" s="1263"/>
      <c r="O648" s="1263"/>
      <c r="P648" s="1263"/>
      <c r="Q648" s="1263"/>
      <c r="R648" s="1263"/>
      <c r="S648" s="1263"/>
      <c r="T648" s="1263"/>
      <c r="U648" s="1263"/>
      <c r="V648" s="1263"/>
      <c r="W648" s="1263"/>
      <c r="X648" s="1263"/>
      <c r="Y648" s="1263"/>
      <c r="Z648" s="1263"/>
      <c r="AA648" s="1263"/>
      <c r="AB648" s="1263"/>
      <c r="AC648" s="1263"/>
      <c r="AD648" s="1263"/>
      <c r="AE648" s="1263"/>
      <c r="AF648" s="1263"/>
      <c r="AG648" s="1263"/>
      <c r="AH648" s="1263"/>
      <c r="AI648" s="1263"/>
      <c r="AJ648" s="1263"/>
      <c r="AK648" s="1263"/>
      <c r="AL648" s="1263"/>
      <c r="AM648" s="1263"/>
      <c r="AN648" s="1264"/>
      <c r="AO648" s="1394">
        <v>10155688</v>
      </c>
      <c r="AP648" s="1374"/>
      <c r="AQ648" s="1374"/>
      <c r="AR648" s="1374"/>
      <c r="AS648" s="1375"/>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80" t="e">
        <f t="shared" si="3"/>
        <v>#VALUE!</v>
      </c>
      <c r="DY648" s="1263"/>
      <c r="DZ648" s="1263"/>
      <c r="EA648" s="1263"/>
      <c r="EB648" s="1264"/>
      <c r="EC648" s="1380">
        <f t="shared" si="4"/>
        <v>552</v>
      </c>
      <c r="ED648" s="1263"/>
      <c r="EE648" s="1263"/>
      <c r="EF648" s="1263"/>
      <c r="EG648" s="1264"/>
      <c r="EH648" s="1380" t="e">
        <f t="shared" si="5"/>
        <v>#VALUE!</v>
      </c>
      <c r="EI648" s="1263"/>
      <c r="EJ648" s="1263"/>
      <c r="EK648" s="1263"/>
      <c r="EL648" s="1264"/>
      <c r="EM648" s="1380" t="e">
        <f t="shared" si="6"/>
        <v>#VALUE!</v>
      </c>
      <c r="EN648" s="1263"/>
      <c r="EO648" s="1263"/>
      <c r="EP648" s="1263"/>
      <c r="EQ648" s="1264"/>
      <c r="ER648" s="1380" t="e">
        <f t="shared" si="7"/>
        <v>#VALUE!</v>
      </c>
      <c r="ES648" s="1263"/>
      <c r="ET648" s="1263"/>
      <c r="EU648" s="1263"/>
      <c r="EV648" s="1264"/>
      <c r="EW648" s="1380" t="e">
        <f t="shared" si="8"/>
        <v>#VALUE!</v>
      </c>
      <c r="EX648" s="1263"/>
      <c r="EY648" s="1263"/>
      <c r="EZ648" s="1263"/>
      <c r="FA648" s="1264"/>
    </row>
    <row r="649" spans="1:157" ht="12.9" customHeight="1">
      <c r="B649" s="1583" t="s">
        <v>1519</v>
      </c>
      <c r="C649" s="1405"/>
      <c r="D649" s="1405"/>
      <c r="E649" s="1405"/>
      <c r="F649" s="1405"/>
      <c r="G649" s="1405"/>
      <c r="H649" s="1405"/>
      <c r="I649" s="1405"/>
      <c r="J649" s="1405"/>
      <c r="K649" s="1405"/>
      <c r="L649" s="1405"/>
      <c r="M649" s="1405"/>
      <c r="N649" s="1405"/>
      <c r="O649" s="1405"/>
      <c r="P649" s="1405"/>
      <c r="Q649" s="1405"/>
      <c r="R649" s="1405"/>
      <c r="S649" s="1405"/>
      <c r="T649" s="1405"/>
      <c r="U649" s="1405"/>
      <c r="V649" s="1405"/>
      <c r="W649" s="1405"/>
      <c r="X649" s="1405"/>
      <c r="Y649" s="1405"/>
      <c r="Z649" s="1405"/>
      <c r="AA649" s="1405"/>
      <c r="AB649" s="1405"/>
      <c r="AC649" s="1405"/>
      <c r="AD649" s="1405"/>
      <c r="AE649" s="1405"/>
      <c r="AF649" s="1405"/>
      <c r="AG649" s="1405"/>
      <c r="AH649" s="1405"/>
      <c r="AI649" s="1405"/>
      <c r="AJ649" s="1405"/>
      <c r="AK649" s="1405"/>
      <c r="AL649" s="1405"/>
      <c r="AM649" s="1405"/>
      <c r="AN649" s="1296"/>
      <c r="AO649" s="1385">
        <f>AO647+AO648</f>
        <v>30975182</v>
      </c>
      <c r="AP649" s="1263"/>
      <c r="AQ649" s="1263"/>
      <c r="AR649" s="1263"/>
      <c r="AS649" s="1264"/>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80" t="e">
        <f t="shared" si="3"/>
        <v>#VALUE!</v>
      </c>
      <c r="DY649" s="1263"/>
      <c r="DZ649" s="1263"/>
      <c r="EA649" s="1263"/>
      <c r="EB649" s="1264"/>
      <c r="EC649" s="1380">
        <f t="shared" si="4"/>
        <v>102.5</v>
      </c>
      <c r="ED649" s="1263"/>
      <c r="EE649" s="1263"/>
      <c r="EF649" s="1263"/>
      <c r="EG649" s="1264"/>
      <c r="EH649" s="1380" t="e">
        <f t="shared" si="5"/>
        <v>#VALUE!</v>
      </c>
      <c r="EI649" s="1263"/>
      <c r="EJ649" s="1263"/>
      <c r="EK649" s="1263"/>
      <c r="EL649" s="1264"/>
      <c r="EM649" s="1380" t="e">
        <f t="shared" si="6"/>
        <v>#VALUE!</v>
      </c>
      <c r="EN649" s="1263"/>
      <c r="EO649" s="1263"/>
      <c r="EP649" s="1263"/>
      <c r="EQ649" s="1264"/>
      <c r="ER649" s="1380" t="e">
        <f t="shared" si="7"/>
        <v>#VALUE!</v>
      </c>
      <c r="ES649" s="1263"/>
      <c r="ET649" s="1263"/>
      <c r="EU649" s="1263"/>
      <c r="EV649" s="1264"/>
      <c r="EW649" s="1380" t="e">
        <f t="shared" si="8"/>
        <v>#VALUE!</v>
      </c>
      <c r="EX649" s="1263"/>
      <c r="EY649" s="1263"/>
      <c r="EZ649" s="1263"/>
      <c r="FA649" s="1264"/>
    </row>
    <row r="650" spans="1:157" ht="12.9"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80" t="e">
        <f t="shared" si="3"/>
        <v>#VALUE!</v>
      </c>
      <c r="DY650" s="1263"/>
      <c r="DZ650" s="1263"/>
      <c r="EA650" s="1263"/>
      <c r="EB650" s="1264"/>
      <c r="EC650" s="1380">
        <f t="shared" si="4"/>
        <v>181.33333333333331</v>
      </c>
      <c r="ED650" s="1263"/>
      <c r="EE650" s="1263"/>
      <c r="EF650" s="1263"/>
      <c r="EG650" s="1264"/>
      <c r="EH650" s="1380" t="e">
        <f t="shared" si="5"/>
        <v>#VALUE!</v>
      </c>
      <c r="EI650" s="1263"/>
      <c r="EJ650" s="1263"/>
      <c r="EK650" s="1263"/>
      <c r="EL650" s="1264"/>
      <c r="EM650" s="1380" t="e">
        <f t="shared" si="6"/>
        <v>#VALUE!</v>
      </c>
      <c r="EN650" s="1263"/>
      <c r="EO650" s="1263"/>
      <c r="EP650" s="1263"/>
      <c r="EQ650" s="1264"/>
      <c r="ER650" s="1380" t="e">
        <f t="shared" si="7"/>
        <v>#VALUE!</v>
      </c>
      <c r="ES650" s="1263"/>
      <c r="ET650" s="1263"/>
      <c r="EU650" s="1263"/>
      <c r="EV650" s="1264"/>
      <c r="EW650" s="1380" t="e">
        <f t="shared" si="8"/>
        <v>#VALUE!</v>
      </c>
      <c r="EX650" s="1263"/>
      <c r="EY650" s="1263"/>
      <c r="EZ650" s="1263"/>
      <c r="FA650" s="1264"/>
    </row>
    <row r="651" spans="1:157" ht="12.9" customHeight="1">
      <c r="A651" s="55" t="s">
        <v>130</v>
      </c>
      <c r="B651" t="s">
        <v>1494</v>
      </c>
      <c r="G651" s="1421" t="str">
        <f>C635</f>
        <v>Permanent Loan</v>
      </c>
      <c r="H651" s="1405"/>
      <c r="I651" s="1405"/>
      <c r="J651" s="1405"/>
      <c r="K651" s="1405"/>
      <c r="L651" s="1405"/>
      <c r="M651" s="1405"/>
      <c r="N651" s="1405"/>
      <c r="O651" s="1405"/>
      <c r="P651" s="1405"/>
      <c r="Q651" s="1405"/>
      <c r="R651" s="1405"/>
      <c r="S651" s="8"/>
      <c r="T651" s="55" t="s">
        <v>143</v>
      </c>
      <c r="U651" t="s">
        <v>1494</v>
      </c>
      <c r="Z651" s="1421" t="str">
        <f>C636</f>
        <v>HCD BV I&amp;II Assumed Soft Loan</v>
      </c>
      <c r="AA651" s="1405"/>
      <c r="AB651" s="1405"/>
      <c r="AC651" s="1405"/>
      <c r="AD651" s="1405"/>
      <c r="AE651" s="1405"/>
      <c r="AF651" s="1405"/>
      <c r="AG651" s="1405"/>
      <c r="AH651" s="1405"/>
      <c r="AI651" s="1405"/>
      <c r="AJ651" s="1405"/>
      <c r="AK651" s="1405"/>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80" t="e">
        <f t="shared" si="3"/>
        <v>#VALUE!</v>
      </c>
      <c r="DY651" s="1263"/>
      <c r="DZ651" s="1263"/>
      <c r="EA651" s="1263"/>
      <c r="EB651" s="1264"/>
      <c r="EC651" s="1380" t="e">
        <f t="shared" si="4"/>
        <v>#VALUE!</v>
      </c>
      <c r="ED651" s="1263"/>
      <c r="EE651" s="1263"/>
      <c r="EF651" s="1263"/>
      <c r="EG651" s="1264"/>
      <c r="EH651" s="1380">
        <f t="shared" si="5"/>
        <v>53.277777777777771</v>
      </c>
      <c r="EI651" s="1263"/>
      <c r="EJ651" s="1263"/>
      <c r="EK651" s="1263"/>
      <c r="EL651" s="1264"/>
      <c r="EM651" s="1380" t="e">
        <f t="shared" si="6"/>
        <v>#VALUE!</v>
      </c>
      <c r="EN651" s="1263"/>
      <c r="EO651" s="1263"/>
      <c r="EP651" s="1263"/>
      <c r="EQ651" s="1264"/>
      <c r="ER651" s="1380" t="e">
        <f t="shared" si="7"/>
        <v>#VALUE!</v>
      </c>
      <c r="ES651" s="1263"/>
      <c r="ET651" s="1263"/>
      <c r="EU651" s="1263"/>
      <c r="EV651" s="1264"/>
      <c r="EW651" s="1380" t="e">
        <f t="shared" si="8"/>
        <v>#VALUE!</v>
      </c>
      <c r="EX651" s="1263"/>
      <c r="EY651" s="1263"/>
      <c r="EZ651" s="1263"/>
      <c r="FA651" s="1264"/>
    </row>
    <row r="652" spans="1:157" ht="12.9" customHeight="1">
      <c r="A652" s="22"/>
      <c r="B652" t="s">
        <v>1181</v>
      </c>
      <c r="G652" s="1389" t="s">
        <v>1495</v>
      </c>
      <c r="H652" s="1294"/>
      <c r="I652" s="1294"/>
      <c r="J652" s="1294"/>
      <c r="K652" s="1294"/>
      <c r="L652" s="1294"/>
      <c r="M652" s="1294"/>
      <c r="N652" s="1294"/>
      <c r="O652" s="1294"/>
      <c r="P652" s="1294"/>
      <c r="Q652" s="1294"/>
      <c r="R652" s="1294"/>
      <c r="S652" s="8"/>
      <c r="T652" s="22"/>
      <c r="U652" t="s">
        <v>1181</v>
      </c>
      <c r="Z652" s="1393" t="s">
        <v>2757</v>
      </c>
      <c r="AA652" s="1294"/>
      <c r="AB652" s="1294"/>
      <c r="AC652" s="1294"/>
      <c r="AD652" s="1294"/>
      <c r="AE652" s="1294"/>
      <c r="AF652" s="1294"/>
      <c r="AG652" s="1294"/>
      <c r="AH652" s="1294"/>
      <c r="AI652" s="1294"/>
      <c r="AJ652" s="1294"/>
      <c r="AK652" s="1294"/>
      <c r="AV652" s="3"/>
      <c r="AW652" s="3"/>
      <c r="AX652" s="3"/>
      <c r="AY652" s="3"/>
      <c r="AZ652" s="3"/>
      <c r="BA652" s="3"/>
      <c r="BB652" s="3"/>
      <c r="BC652" s="3"/>
      <c r="BD652" s="3"/>
      <c r="BE652" s="3"/>
      <c r="BF652" s="3"/>
      <c r="BG652" s="3"/>
      <c r="BH652" s="3"/>
      <c r="BI652" s="3"/>
      <c r="BJ652" s="3"/>
      <c r="BK652" s="3"/>
      <c r="BL652" s="3"/>
      <c r="BM652" s="3"/>
      <c r="DX652" s="1380" t="e">
        <f t="shared" si="3"/>
        <v>#VALUE!</v>
      </c>
      <c r="DY652" s="1263"/>
      <c r="DZ652" s="1263"/>
      <c r="EA652" s="1263"/>
      <c r="EB652" s="1264"/>
      <c r="EC652" s="1380" t="e">
        <f t="shared" si="4"/>
        <v>#VALUE!</v>
      </c>
      <c r="ED652" s="1263"/>
      <c r="EE652" s="1263"/>
      <c r="EF652" s="1263"/>
      <c r="EG652" s="1264"/>
      <c r="EH652" s="1380">
        <f t="shared" si="5"/>
        <v>62.777777777777771</v>
      </c>
      <c r="EI652" s="1263"/>
      <c r="EJ652" s="1263"/>
      <c r="EK652" s="1263"/>
      <c r="EL652" s="1264"/>
      <c r="EM652" s="1380" t="e">
        <f t="shared" si="6"/>
        <v>#VALUE!</v>
      </c>
      <c r="EN652" s="1263"/>
      <c r="EO652" s="1263"/>
      <c r="EP652" s="1263"/>
      <c r="EQ652" s="1264"/>
      <c r="ER652" s="1380" t="e">
        <f t="shared" si="7"/>
        <v>#VALUE!</v>
      </c>
      <c r="ES652" s="1263"/>
      <c r="ET652" s="1263"/>
      <c r="EU652" s="1263"/>
      <c r="EV652" s="1264"/>
      <c r="EW652" s="1380" t="e">
        <f t="shared" si="8"/>
        <v>#VALUE!</v>
      </c>
      <c r="EX652" s="1263"/>
      <c r="EY652" s="1263"/>
      <c r="EZ652" s="1263"/>
      <c r="FA652" s="1264"/>
    </row>
    <row r="653" spans="1:157" ht="12.9" customHeight="1">
      <c r="A653" s="22"/>
      <c r="B653" t="s">
        <v>1049</v>
      </c>
      <c r="G653" s="1389" t="s">
        <v>1496</v>
      </c>
      <c r="H653" s="1294"/>
      <c r="I653" s="1294"/>
      <c r="J653" s="1294"/>
      <c r="K653" s="1294"/>
      <c r="L653" s="1294"/>
      <c r="M653" s="1294"/>
      <c r="N653" s="1294"/>
      <c r="O653" s="1294"/>
      <c r="P653" s="1294"/>
      <c r="Q653" s="1294"/>
      <c r="R653" s="1294"/>
      <c r="T653" s="22"/>
      <c r="U653" t="s">
        <v>1049</v>
      </c>
      <c r="Z653" s="1431" t="s">
        <v>1056</v>
      </c>
      <c r="AA653" s="1374"/>
      <c r="AB653" s="1374"/>
      <c r="AC653" s="1374"/>
      <c r="AD653" s="1374"/>
      <c r="AE653" s="1374"/>
      <c r="AF653" s="1374"/>
      <c r="AG653" s="1374"/>
      <c r="AH653" s="1374"/>
      <c r="AI653" s="1374"/>
      <c r="AJ653" s="1374"/>
      <c r="AK653" s="1374"/>
      <c r="AV653" s="3"/>
      <c r="AW653" s="3"/>
      <c r="AX653" s="3"/>
      <c r="AY653" s="3"/>
      <c r="AZ653" s="3"/>
      <c r="BA653" s="3"/>
      <c r="BB653" s="3"/>
      <c r="BC653" s="3"/>
      <c r="BD653" s="3"/>
      <c r="BE653" s="3"/>
      <c r="BF653" s="3"/>
      <c r="BG653" s="3"/>
      <c r="BH653" s="3"/>
      <c r="BI653" s="3"/>
      <c r="BJ653" s="3"/>
      <c r="BK653" s="3"/>
      <c r="BL653" s="3"/>
      <c r="BM653" s="3"/>
      <c r="DX653" s="1380" t="e">
        <f t="shared" si="3"/>
        <v>#VALUE!</v>
      </c>
      <c r="DY653" s="1263"/>
      <c r="DZ653" s="1263"/>
      <c r="EA653" s="1263"/>
      <c r="EB653" s="1264"/>
      <c r="EC653" s="1380" t="e">
        <f t="shared" si="4"/>
        <v>#VALUE!</v>
      </c>
      <c r="ED653" s="1263"/>
      <c r="EE653" s="1263"/>
      <c r="EF653" s="1263"/>
      <c r="EG653" s="1264"/>
      <c r="EH653" s="1380">
        <f t="shared" si="5"/>
        <v>53.277777777777771</v>
      </c>
      <c r="EI653" s="1263"/>
      <c r="EJ653" s="1263"/>
      <c r="EK653" s="1263"/>
      <c r="EL653" s="1264"/>
      <c r="EM653" s="1380" t="e">
        <f t="shared" si="6"/>
        <v>#VALUE!</v>
      </c>
      <c r="EN653" s="1263"/>
      <c r="EO653" s="1263"/>
      <c r="EP653" s="1263"/>
      <c r="EQ653" s="1264"/>
      <c r="ER653" s="1380" t="e">
        <f t="shared" si="7"/>
        <v>#VALUE!</v>
      </c>
      <c r="ES653" s="1263"/>
      <c r="ET653" s="1263"/>
      <c r="EU653" s="1263"/>
      <c r="EV653" s="1264"/>
      <c r="EW653" s="1380" t="e">
        <f t="shared" si="8"/>
        <v>#VALUE!</v>
      </c>
      <c r="EX653" s="1263"/>
      <c r="EY653" s="1263"/>
      <c r="EZ653" s="1263"/>
      <c r="FA653" s="1264"/>
    </row>
    <row r="654" spans="1:157" ht="12.9" customHeight="1">
      <c r="A654" s="22"/>
      <c r="B654" t="s">
        <v>1497</v>
      </c>
      <c r="G654" s="1389" t="s">
        <v>1498</v>
      </c>
      <c r="H654" s="1294"/>
      <c r="I654" s="1294"/>
      <c r="J654" s="1294"/>
      <c r="K654" s="1294"/>
      <c r="L654" s="1294"/>
      <c r="M654" s="1294"/>
      <c r="N654" s="1294"/>
      <c r="O654" s="1294"/>
      <c r="P654" s="1294"/>
      <c r="Q654" s="1294"/>
      <c r="R654" s="1294"/>
      <c r="S654" s="8"/>
      <c r="T654" s="22"/>
      <c r="U654" t="s">
        <v>1497</v>
      </c>
      <c r="Z654" s="1431" t="s">
        <v>2756</v>
      </c>
      <c r="AA654" s="1374"/>
      <c r="AB654" s="1374"/>
      <c r="AC654" s="1374"/>
      <c r="AD654" s="1374"/>
      <c r="AE654" s="1374"/>
      <c r="AF654" s="1374"/>
      <c r="AG654" s="1374"/>
      <c r="AH654" s="1374"/>
      <c r="AI654" s="1374"/>
      <c r="AJ654" s="1374"/>
      <c r="AK654" s="1374"/>
      <c r="AZ654" s="3"/>
      <c r="BA654" s="3"/>
      <c r="BB654" s="3"/>
      <c r="BC654" s="3"/>
      <c r="BD654" s="3"/>
      <c r="BE654" s="3"/>
      <c r="BF654" s="3"/>
      <c r="BG654" s="3"/>
      <c r="BH654" s="3"/>
      <c r="BI654" s="3"/>
      <c r="BJ654" s="3"/>
      <c r="BK654" s="3"/>
      <c r="BL654" s="3"/>
      <c r="BM654" s="3"/>
      <c r="DX654" s="1380" t="e">
        <f t="shared" si="3"/>
        <v>#VALUE!</v>
      </c>
      <c r="DY654" s="1263"/>
      <c r="DZ654" s="1263"/>
      <c r="EA654" s="1263"/>
      <c r="EB654" s="1264"/>
      <c r="EC654" s="1380" t="e">
        <f t="shared" si="4"/>
        <v>#VALUE!</v>
      </c>
      <c r="ED654" s="1263"/>
      <c r="EE654" s="1263"/>
      <c r="EF654" s="1263"/>
      <c r="EG654" s="1264"/>
      <c r="EH654" s="1380">
        <f t="shared" si="5"/>
        <v>505.55555555555554</v>
      </c>
      <c r="EI654" s="1263"/>
      <c r="EJ654" s="1263"/>
      <c r="EK654" s="1263"/>
      <c r="EL654" s="1264"/>
      <c r="EM654" s="1380" t="e">
        <f t="shared" si="6"/>
        <v>#VALUE!</v>
      </c>
      <c r="EN654" s="1263"/>
      <c r="EO654" s="1263"/>
      <c r="EP654" s="1263"/>
      <c r="EQ654" s="1264"/>
      <c r="ER654" s="1380" t="e">
        <f t="shared" si="7"/>
        <v>#VALUE!</v>
      </c>
      <c r="ES654" s="1263"/>
      <c r="ET654" s="1263"/>
      <c r="EU654" s="1263"/>
      <c r="EV654" s="1264"/>
      <c r="EW654" s="1380" t="e">
        <f t="shared" si="8"/>
        <v>#VALUE!</v>
      </c>
      <c r="EX654" s="1263"/>
      <c r="EY654" s="1263"/>
      <c r="EZ654" s="1263"/>
      <c r="FA654" s="1264"/>
    </row>
    <row r="655" spans="1:157" ht="12.9" customHeight="1">
      <c r="A655" s="22"/>
      <c r="B655" t="s">
        <v>948</v>
      </c>
      <c r="G655" s="1430" t="s">
        <v>1499</v>
      </c>
      <c r="H655" s="1374"/>
      <c r="I655" s="1374"/>
      <c r="J655" s="1374"/>
      <c r="K655" s="1374"/>
      <c r="L655" s="1374"/>
      <c r="O655" s="33" t="s">
        <v>1188</v>
      </c>
      <c r="P655" s="1440"/>
      <c r="Q655" s="1374"/>
      <c r="R655" s="1374"/>
      <c r="S655" s="10"/>
      <c r="T655" s="22"/>
      <c r="U655" t="s">
        <v>948</v>
      </c>
      <c r="Z655" s="1430">
        <v>9169957494</v>
      </c>
      <c r="AA655" s="1374"/>
      <c r="AB655" s="1374"/>
      <c r="AC655" s="1374"/>
      <c r="AD655" s="1374"/>
      <c r="AE655" s="1374"/>
      <c r="AH655" s="33" t="s">
        <v>1188</v>
      </c>
      <c r="AI655" s="1440"/>
      <c r="AJ655" s="1374"/>
      <c r="AK655" s="1374"/>
      <c r="AZ655" s="34"/>
      <c r="BA655" s="34"/>
      <c r="BB655" s="34"/>
      <c r="BC655" s="34"/>
      <c r="BD655" s="34"/>
      <c r="BE655" s="34"/>
      <c r="BF655" s="34"/>
      <c r="BG655" s="34"/>
      <c r="BH655" s="34"/>
      <c r="BI655" s="34"/>
      <c r="BJ655" s="34"/>
      <c r="BK655" s="34"/>
      <c r="BL655" s="34"/>
      <c r="BM655" s="34"/>
      <c r="DX655" s="1380" t="e">
        <f t="shared" si="3"/>
        <v>#VALUE!</v>
      </c>
      <c r="DY655" s="1263"/>
      <c r="DZ655" s="1263"/>
      <c r="EA655" s="1263"/>
      <c r="EB655" s="1264"/>
      <c r="EC655" s="1380" t="e">
        <f t="shared" si="4"/>
        <v>#VALUE!</v>
      </c>
      <c r="ED655" s="1263"/>
      <c r="EE655" s="1263"/>
      <c r="EF655" s="1263"/>
      <c r="EG655" s="1264"/>
      <c r="EH655" s="1380">
        <f t="shared" si="5"/>
        <v>273.5</v>
      </c>
      <c r="EI655" s="1263"/>
      <c r="EJ655" s="1263"/>
      <c r="EK655" s="1263"/>
      <c r="EL655" s="1264"/>
      <c r="EM655" s="1380" t="e">
        <f t="shared" si="6"/>
        <v>#VALUE!</v>
      </c>
      <c r="EN655" s="1263"/>
      <c r="EO655" s="1263"/>
      <c r="EP655" s="1263"/>
      <c r="EQ655" s="1264"/>
      <c r="ER655" s="1380" t="e">
        <f t="shared" si="7"/>
        <v>#VALUE!</v>
      </c>
      <c r="ES655" s="1263"/>
      <c r="ET655" s="1263"/>
      <c r="EU655" s="1263"/>
      <c r="EV655" s="1264"/>
      <c r="EW655" s="1380" t="e">
        <f t="shared" si="8"/>
        <v>#VALUE!</v>
      </c>
      <c r="EX655" s="1263"/>
      <c r="EY655" s="1263"/>
      <c r="EZ655" s="1263"/>
      <c r="FA655" s="1264"/>
    </row>
    <row r="656" spans="1:157" ht="12.9" customHeight="1">
      <c r="A656" s="22"/>
      <c r="B656" t="s">
        <v>1500</v>
      </c>
      <c r="H656" s="1389" t="s">
        <v>1520</v>
      </c>
      <c r="I656" s="1294"/>
      <c r="J656" s="1294"/>
      <c r="K656" s="1294"/>
      <c r="L656" s="1294"/>
      <c r="M656" s="1294"/>
      <c r="N656" s="1294"/>
      <c r="O656" s="1294"/>
      <c r="P656" s="1294"/>
      <c r="Q656" s="1294"/>
      <c r="R656" s="1294"/>
      <c r="S656" s="8"/>
      <c r="T656" s="22"/>
      <c r="U656" t="s">
        <v>1500</v>
      </c>
      <c r="AA656" s="1393" t="s">
        <v>2738</v>
      </c>
      <c r="AB656" s="1294"/>
      <c r="AC656" s="1294"/>
      <c r="AD656" s="1294"/>
      <c r="AE656" s="1294"/>
      <c r="AF656" s="1294"/>
      <c r="AG656" s="1294"/>
      <c r="AH656" s="1294"/>
      <c r="AI656" s="1294"/>
      <c r="AJ656" s="1294"/>
      <c r="AK656" s="1294"/>
      <c r="AZ656" s="34"/>
      <c r="BA656" s="34"/>
      <c r="BB656" s="34"/>
      <c r="BC656" s="34"/>
      <c r="BD656" s="34"/>
      <c r="BE656" s="34"/>
      <c r="BF656" s="34"/>
      <c r="BG656" s="34"/>
      <c r="BH656" s="34"/>
      <c r="BI656" s="34"/>
      <c r="BJ656" s="34"/>
      <c r="BK656" s="34"/>
      <c r="BL656" s="34"/>
      <c r="BM656" s="34"/>
      <c r="DX656" s="1380" t="e">
        <f t="shared" si="3"/>
        <v>#VALUE!</v>
      </c>
      <c r="DY656" s="1263"/>
      <c r="DZ656" s="1263"/>
      <c r="EA656" s="1263"/>
      <c r="EB656" s="1264"/>
      <c r="EC656" s="1380" t="e">
        <f t="shared" si="4"/>
        <v>#VALUE!</v>
      </c>
      <c r="ED656" s="1263"/>
      <c r="EE656" s="1263"/>
      <c r="EF656" s="1263"/>
      <c r="EG656" s="1264"/>
      <c r="EH656" s="1380">
        <f t="shared" si="5"/>
        <v>550.27777777777783</v>
      </c>
      <c r="EI656" s="1263"/>
      <c r="EJ656" s="1263"/>
      <c r="EK656" s="1263"/>
      <c r="EL656" s="1264"/>
      <c r="EM656" s="1380" t="e">
        <f t="shared" si="6"/>
        <v>#VALUE!</v>
      </c>
      <c r="EN656" s="1263"/>
      <c r="EO656" s="1263"/>
      <c r="EP656" s="1263"/>
      <c r="EQ656" s="1264"/>
      <c r="ER656" s="1380" t="e">
        <f t="shared" si="7"/>
        <v>#VALUE!</v>
      </c>
      <c r="ES656" s="1263"/>
      <c r="ET656" s="1263"/>
      <c r="EU656" s="1263"/>
      <c r="EV656" s="1264"/>
      <c r="EW656" s="1380" t="e">
        <f t="shared" si="8"/>
        <v>#VALUE!</v>
      </c>
      <c r="EX656" s="1263"/>
      <c r="EY656" s="1263"/>
      <c r="EZ656" s="1263"/>
      <c r="FA656" s="1264"/>
    </row>
    <row r="657" spans="1:157" ht="12.9" customHeight="1">
      <c r="A657" s="22"/>
      <c r="B657" t="s">
        <v>1502</v>
      </c>
      <c r="N657" s="1401" t="s">
        <v>969</v>
      </c>
      <c r="O657" s="1294"/>
      <c r="T657" s="22"/>
      <c r="U657" t="s">
        <v>1502</v>
      </c>
      <c r="AG657" s="1401" t="s">
        <v>969</v>
      </c>
      <c r="AH657" s="1294"/>
      <c r="AZ657" s="34"/>
      <c r="BA657" s="34"/>
      <c r="BB657" s="34"/>
      <c r="BC657" s="34"/>
      <c r="BD657" s="34"/>
      <c r="BE657" s="34"/>
      <c r="BF657" s="34"/>
      <c r="BG657" s="34"/>
      <c r="BH657" s="34"/>
      <c r="BI657" s="34"/>
      <c r="BJ657" s="34"/>
      <c r="BK657" s="34"/>
      <c r="BL657" s="34"/>
      <c r="BM657" s="34"/>
      <c r="DX657" s="1380" t="e">
        <f t="shared" si="3"/>
        <v>#VALUE!</v>
      </c>
      <c r="DY657" s="1263"/>
      <c r="DZ657" s="1263"/>
      <c r="EA657" s="1263"/>
      <c r="EB657" s="1264"/>
      <c r="EC657" s="1380" t="e">
        <f t="shared" si="4"/>
        <v>#VALUE!</v>
      </c>
      <c r="ED657" s="1263"/>
      <c r="EE657" s="1263"/>
      <c r="EF657" s="1263"/>
      <c r="EG657" s="1264"/>
      <c r="EH657" s="1380" t="e">
        <f t="shared" si="5"/>
        <v>#VALUE!</v>
      </c>
      <c r="EI657" s="1263"/>
      <c r="EJ657" s="1263"/>
      <c r="EK657" s="1263"/>
      <c r="EL657" s="1264"/>
      <c r="EM657" s="1380">
        <f t="shared" si="6"/>
        <v>39.464285714285715</v>
      </c>
      <c r="EN657" s="1263"/>
      <c r="EO657" s="1263"/>
      <c r="EP657" s="1263"/>
      <c r="EQ657" s="1264"/>
      <c r="ER657" s="1380" t="e">
        <f t="shared" si="7"/>
        <v>#VALUE!</v>
      </c>
      <c r="ES657" s="1263"/>
      <c r="ET657" s="1263"/>
      <c r="EU657" s="1263"/>
      <c r="EV657" s="1264"/>
      <c r="EW657" s="1380" t="e">
        <f t="shared" si="8"/>
        <v>#VALUE!</v>
      </c>
      <c r="EX657" s="1263"/>
      <c r="EY657" s="1263"/>
      <c r="EZ657" s="1263"/>
      <c r="FA657" s="1264"/>
    </row>
    <row r="658" spans="1:157" ht="12.9" customHeight="1">
      <c r="A658" s="22"/>
      <c r="T658" s="22"/>
      <c r="AZ658" s="34"/>
      <c r="BA658" s="34"/>
      <c r="BB658" s="34"/>
      <c r="BC658" s="34"/>
      <c r="BD658" s="34"/>
      <c r="BE658" s="34"/>
      <c r="BF658" s="34"/>
      <c r="BG658" s="34"/>
      <c r="BH658" s="34"/>
      <c r="BI658" s="34"/>
      <c r="BJ658" s="34"/>
      <c r="BK658" s="34"/>
      <c r="BL658" s="34"/>
      <c r="BM658" s="34"/>
      <c r="DX658" s="1380" t="e">
        <f t="shared" si="3"/>
        <v>#VALUE!</v>
      </c>
      <c r="DY658" s="1263"/>
      <c r="DZ658" s="1263"/>
      <c r="EA658" s="1263"/>
      <c r="EB658" s="1264"/>
      <c r="EC658" s="1380" t="e">
        <f t="shared" si="4"/>
        <v>#VALUE!</v>
      </c>
      <c r="ED658" s="1263"/>
      <c r="EE658" s="1263"/>
      <c r="EF658" s="1263"/>
      <c r="EG658" s="1264"/>
      <c r="EH658" s="1380" t="e">
        <f t="shared" si="5"/>
        <v>#VALUE!</v>
      </c>
      <c r="EI658" s="1263"/>
      <c r="EJ658" s="1263"/>
      <c r="EK658" s="1263"/>
      <c r="EL658" s="1264"/>
      <c r="EM658" s="1380">
        <f t="shared" si="6"/>
        <v>181.71428571428569</v>
      </c>
      <c r="EN658" s="1263"/>
      <c r="EO658" s="1263"/>
      <c r="EP658" s="1263"/>
      <c r="EQ658" s="1264"/>
      <c r="ER658" s="1380" t="e">
        <f t="shared" si="7"/>
        <v>#VALUE!</v>
      </c>
      <c r="ES658" s="1263"/>
      <c r="ET658" s="1263"/>
      <c r="EU658" s="1263"/>
      <c r="EV658" s="1264"/>
      <c r="EW658" s="1380" t="e">
        <f t="shared" si="8"/>
        <v>#VALUE!</v>
      </c>
      <c r="EX658" s="1263"/>
      <c r="EY658" s="1263"/>
      <c r="EZ658" s="1263"/>
      <c r="FA658" s="1264"/>
    </row>
    <row r="659" spans="1:157" ht="12.9" customHeight="1">
      <c r="A659" s="55" t="s">
        <v>151</v>
      </c>
      <c r="B659" t="s">
        <v>1494</v>
      </c>
      <c r="G659" s="1421" t="str">
        <f>C637</f>
        <v>LAHD BV I&amp;II Assumed Soft Loan</v>
      </c>
      <c r="H659" s="1405"/>
      <c r="I659" s="1405"/>
      <c r="J659" s="1405"/>
      <c r="K659" s="1405"/>
      <c r="L659" s="1405"/>
      <c r="M659" s="1405"/>
      <c r="N659" s="1405"/>
      <c r="O659" s="1405"/>
      <c r="P659" s="1405"/>
      <c r="Q659" s="1405"/>
      <c r="R659" s="1405"/>
      <c r="T659" s="55" t="s">
        <v>194</v>
      </c>
      <c r="U659" t="s">
        <v>1494</v>
      </c>
      <c r="Z659" s="1421" t="str">
        <f>C638</f>
        <v>LACDA BV I&amp;II Assumed Soft Loan</v>
      </c>
      <c r="AA659" s="1405"/>
      <c r="AB659" s="1405"/>
      <c r="AC659" s="1405"/>
      <c r="AD659" s="1405"/>
      <c r="AE659" s="1405"/>
      <c r="AF659" s="1405"/>
      <c r="AG659" s="1405"/>
      <c r="AH659" s="1405"/>
      <c r="AI659" s="1405"/>
      <c r="AJ659" s="1405"/>
      <c r="AK659" s="1405"/>
      <c r="AZ659" s="34"/>
      <c r="BA659" s="34"/>
      <c r="BB659" s="34"/>
      <c r="BC659" s="34"/>
      <c r="BD659" s="34"/>
      <c r="BE659" s="34"/>
      <c r="BF659" s="34"/>
      <c r="BG659" s="34"/>
      <c r="BH659" s="34"/>
      <c r="BI659" s="34"/>
      <c r="BJ659" s="34"/>
      <c r="BK659" s="34"/>
      <c r="BL659" s="34"/>
      <c r="BM659" s="34"/>
      <c r="DX659" s="1380" t="e">
        <f t="shared" si="3"/>
        <v>#VALUE!</v>
      </c>
      <c r="DY659" s="1263"/>
      <c r="DZ659" s="1263"/>
      <c r="EA659" s="1263"/>
      <c r="EB659" s="1264"/>
      <c r="EC659" s="1380" t="e">
        <f t="shared" si="4"/>
        <v>#VALUE!</v>
      </c>
      <c r="ED659" s="1263"/>
      <c r="EE659" s="1263"/>
      <c r="EF659" s="1263"/>
      <c r="EG659" s="1264"/>
      <c r="EH659" s="1380" t="e">
        <f t="shared" si="5"/>
        <v>#VALUE!</v>
      </c>
      <c r="EI659" s="1263"/>
      <c r="EJ659" s="1263"/>
      <c r="EK659" s="1263"/>
      <c r="EL659" s="1264"/>
      <c r="EM659" s="1380">
        <f t="shared" si="6"/>
        <v>135.21428571428569</v>
      </c>
      <c r="EN659" s="1263"/>
      <c r="EO659" s="1263"/>
      <c r="EP659" s="1263"/>
      <c r="EQ659" s="1264"/>
      <c r="ER659" s="1380" t="e">
        <f t="shared" si="7"/>
        <v>#VALUE!</v>
      </c>
      <c r="ES659" s="1263"/>
      <c r="ET659" s="1263"/>
      <c r="EU659" s="1263"/>
      <c r="EV659" s="1264"/>
      <c r="EW659" s="1380" t="e">
        <f t="shared" si="8"/>
        <v>#VALUE!</v>
      </c>
      <c r="EX659" s="1263"/>
      <c r="EY659" s="1263"/>
      <c r="EZ659" s="1263"/>
      <c r="FA659" s="1264"/>
    </row>
    <row r="660" spans="1:157" ht="12.9" customHeight="1">
      <c r="A660" s="22"/>
      <c r="B660" t="s">
        <v>1181</v>
      </c>
      <c r="G660" s="1393" t="s">
        <v>2753</v>
      </c>
      <c r="H660" s="1294"/>
      <c r="I660" s="1294"/>
      <c r="J660" s="1294"/>
      <c r="K660" s="1294"/>
      <c r="L660" s="1294"/>
      <c r="M660" s="1294"/>
      <c r="N660" s="1294"/>
      <c r="O660" s="1294"/>
      <c r="P660" s="1294"/>
      <c r="Q660" s="1294"/>
      <c r="R660" s="1294"/>
      <c r="T660" s="22"/>
      <c r="U660" t="s">
        <v>1181</v>
      </c>
      <c r="Z660" s="1393" t="s">
        <v>2754</v>
      </c>
      <c r="AA660" s="1294"/>
      <c r="AB660" s="1294"/>
      <c r="AC660" s="1294"/>
      <c r="AD660" s="1294"/>
      <c r="AE660" s="1294"/>
      <c r="AF660" s="1294"/>
      <c r="AG660" s="1294"/>
      <c r="AH660" s="1294"/>
      <c r="AI660" s="1294"/>
      <c r="AJ660" s="1294"/>
      <c r="AK660" s="1294"/>
      <c r="AZ660" s="34"/>
      <c r="BA660" s="34"/>
      <c r="BB660" s="34"/>
      <c r="BC660" s="34"/>
      <c r="BD660" s="34"/>
      <c r="BE660" s="34"/>
      <c r="BF660" s="34"/>
      <c r="BG660" s="34"/>
      <c r="BH660" s="34"/>
      <c r="BI660" s="34"/>
      <c r="BJ660" s="34"/>
      <c r="BK660" s="34"/>
      <c r="BL660" s="34"/>
      <c r="BM660" s="34"/>
      <c r="DX660" s="1380" t="e">
        <f t="shared" si="3"/>
        <v>#VALUE!</v>
      </c>
      <c r="DY660" s="1263"/>
      <c r="DZ660" s="1263"/>
      <c r="EA660" s="1263"/>
      <c r="EB660" s="1264"/>
      <c r="EC660" s="1380" t="e">
        <f t="shared" si="4"/>
        <v>#VALUE!</v>
      </c>
      <c r="ED660" s="1263"/>
      <c r="EE660" s="1263"/>
      <c r="EF660" s="1263"/>
      <c r="EG660" s="1264"/>
      <c r="EH660" s="1380" t="e">
        <f t="shared" si="5"/>
        <v>#VALUE!</v>
      </c>
      <c r="EI660" s="1263"/>
      <c r="EJ660" s="1263"/>
      <c r="EK660" s="1263"/>
      <c r="EL660" s="1264"/>
      <c r="EM660" s="1380">
        <f t="shared" si="6"/>
        <v>326.57142857142856</v>
      </c>
      <c r="EN660" s="1263"/>
      <c r="EO660" s="1263"/>
      <c r="EP660" s="1263"/>
      <c r="EQ660" s="1264"/>
      <c r="ER660" s="1380" t="e">
        <f t="shared" si="7"/>
        <v>#VALUE!</v>
      </c>
      <c r="ES660" s="1263"/>
      <c r="ET660" s="1263"/>
      <c r="EU660" s="1263"/>
      <c r="EV660" s="1264"/>
      <c r="EW660" s="1380" t="e">
        <f t="shared" si="8"/>
        <v>#VALUE!</v>
      </c>
      <c r="EX660" s="1263"/>
      <c r="EY660" s="1263"/>
      <c r="EZ660" s="1263"/>
      <c r="FA660" s="1264"/>
    </row>
    <row r="661" spans="1:157" ht="12.9" customHeight="1">
      <c r="A661" s="22"/>
      <c r="B661" t="s">
        <v>1049</v>
      </c>
      <c r="G661" s="1431" t="s">
        <v>911</v>
      </c>
      <c r="H661" s="1374"/>
      <c r="I661" s="1374"/>
      <c r="J661" s="1374"/>
      <c r="K661" s="1374"/>
      <c r="L661" s="1374"/>
      <c r="M661" s="1374"/>
      <c r="N661" s="1374"/>
      <c r="O661" s="1374"/>
      <c r="P661" s="1374"/>
      <c r="Q661" s="1374"/>
      <c r="R661" s="1374"/>
      <c r="T661" s="22"/>
      <c r="U661" t="s">
        <v>1049</v>
      </c>
      <c r="Z661" s="1431" t="s">
        <v>911</v>
      </c>
      <c r="AA661" s="1374"/>
      <c r="AB661" s="1374"/>
      <c r="AC661" s="1374"/>
      <c r="AD661" s="1374"/>
      <c r="AE661" s="1374"/>
      <c r="AF661" s="1374"/>
      <c r="AG661" s="1374"/>
      <c r="AH661" s="1374"/>
      <c r="AI661" s="1374"/>
      <c r="AJ661" s="1374"/>
      <c r="AK661" s="1374"/>
      <c r="AZ661" s="34"/>
      <c r="BA661" s="34"/>
      <c r="BB661" s="34"/>
      <c r="BC661" s="34"/>
      <c r="BD661" s="34"/>
      <c r="BE661" s="34"/>
      <c r="BF661" s="34"/>
      <c r="BG661" s="34"/>
      <c r="BH661" s="34"/>
      <c r="BI661" s="34"/>
      <c r="BJ661" s="34"/>
      <c r="BK661" s="34"/>
      <c r="BL661" s="34"/>
      <c r="BM661" s="34"/>
      <c r="DX661" s="1380" t="e">
        <f t="shared" si="3"/>
        <v>#VALUE!</v>
      </c>
      <c r="DY661" s="1263"/>
      <c r="DZ661" s="1263"/>
      <c r="EA661" s="1263"/>
      <c r="EB661" s="1264"/>
      <c r="EC661" s="1380" t="e">
        <f t="shared" si="4"/>
        <v>#VALUE!</v>
      </c>
      <c r="ED661" s="1263"/>
      <c r="EE661" s="1263"/>
      <c r="EF661" s="1263"/>
      <c r="EG661" s="1264"/>
      <c r="EH661" s="1380" t="e">
        <f t="shared" si="5"/>
        <v>#VALUE!</v>
      </c>
      <c r="EI661" s="1263"/>
      <c r="EJ661" s="1263"/>
      <c r="EK661" s="1263"/>
      <c r="EL661" s="1264"/>
      <c r="EM661" s="1380">
        <f t="shared" si="6"/>
        <v>78.928571428571431</v>
      </c>
      <c r="EN661" s="1263"/>
      <c r="EO661" s="1263"/>
      <c r="EP661" s="1263"/>
      <c r="EQ661" s="1264"/>
      <c r="ER661" s="1380" t="e">
        <f t="shared" si="7"/>
        <v>#VALUE!</v>
      </c>
      <c r="ES661" s="1263"/>
      <c r="ET661" s="1263"/>
      <c r="EU661" s="1263"/>
      <c r="EV661" s="1264"/>
      <c r="EW661" s="1380" t="e">
        <f t="shared" si="8"/>
        <v>#VALUE!</v>
      </c>
      <c r="EX661" s="1263"/>
      <c r="EY661" s="1263"/>
      <c r="EZ661" s="1263"/>
      <c r="FA661" s="1264"/>
    </row>
    <row r="662" spans="1:157" ht="12.9" customHeight="1">
      <c r="A662" s="22"/>
      <c r="B662" t="s">
        <v>1497</v>
      </c>
      <c r="G662" s="1431" t="s">
        <v>2752</v>
      </c>
      <c r="H662" s="1374"/>
      <c r="I662" s="1374"/>
      <c r="J662" s="1374"/>
      <c r="K662" s="1374"/>
      <c r="L662" s="1374"/>
      <c r="M662" s="1374"/>
      <c r="N662" s="1374"/>
      <c r="O662" s="1374"/>
      <c r="P662" s="1374"/>
      <c r="Q662" s="1374"/>
      <c r="R662" s="1374"/>
      <c r="T662" s="22"/>
      <c r="U662" t="s">
        <v>1497</v>
      </c>
      <c r="Z662" s="1431" t="s">
        <v>2755</v>
      </c>
      <c r="AA662" s="1374"/>
      <c r="AB662" s="1374"/>
      <c r="AC662" s="1374"/>
      <c r="AD662" s="1374"/>
      <c r="AE662" s="1374"/>
      <c r="AF662" s="1374"/>
      <c r="AG662" s="1374"/>
      <c r="AH662" s="1374"/>
      <c r="AI662" s="1374"/>
      <c r="AJ662" s="1374"/>
      <c r="AK662" s="1374"/>
      <c r="AZ662" s="34"/>
      <c r="BA662" s="34"/>
      <c r="BB662" s="34"/>
      <c r="BC662" s="34"/>
      <c r="BD662" s="34"/>
      <c r="BE662" s="34"/>
      <c r="BF662" s="34"/>
      <c r="BG662" s="34"/>
      <c r="BH662" s="34"/>
      <c r="BI662" s="34"/>
      <c r="BJ662" s="34"/>
      <c r="BK662" s="34"/>
      <c r="BL662" s="34"/>
      <c r="BM662" s="34"/>
      <c r="DX662" s="1380" t="e">
        <f t="shared" si="3"/>
        <v>#VALUE!</v>
      </c>
      <c r="DY662" s="1263"/>
      <c r="DZ662" s="1263"/>
      <c r="EA662" s="1263"/>
      <c r="EB662" s="1264"/>
      <c r="EC662" s="1380" t="e">
        <f t="shared" si="4"/>
        <v>#VALUE!</v>
      </c>
      <c r="ED662" s="1263"/>
      <c r="EE662" s="1263"/>
      <c r="EF662" s="1263"/>
      <c r="EG662" s="1264"/>
      <c r="EH662" s="1380" t="e">
        <f t="shared" si="5"/>
        <v>#VALUE!</v>
      </c>
      <c r="EI662" s="1263"/>
      <c r="EJ662" s="1263"/>
      <c r="EK662" s="1263"/>
      <c r="EL662" s="1264"/>
      <c r="EM662" s="1380">
        <f t="shared" si="6"/>
        <v>270.42857142857139</v>
      </c>
      <c r="EN662" s="1263"/>
      <c r="EO662" s="1263"/>
      <c r="EP662" s="1263"/>
      <c r="EQ662" s="1264"/>
      <c r="ER662" s="1380" t="e">
        <f t="shared" si="7"/>
        <v>#VALUE!</v>
      </c>
      <c r="ES662" s="1263"/>
      <c r="ET662" s="1263"/>
      <c r="EU662" s="1263"/>
      <c r="EV662" s="1264"/>
      <c r="EW662" s="1380" t="e">
        <f t="shared" si="8"/>
        <v>#VALUE!</v>
      </c>
      <c r="EX662" s="1263"/>
      <c r="EY662" s="1263"/>
      <c r="EZ662" s="1263"/>
      <c r="FA662" s="1264"/>
    </row>
    <row r="663" spans="1:157" ht="12.9" customHeight="1">
      <c r="A663" s="22"/>
      <c r="B663" t="s">
        <v>948</v>
      </c>
      <c r="G663" s="1430">
        <v>2138088538</v>
      </c>
      <c r="H663" s="1374"/>
      <c r="I663" s="1374"/>
      <c r="J663" s="1374"/>
      <c r="K663" s="1374"/>
      <c r="L663" s="1374"/>
      <c r="O663" s="33" t="s">
        <v>1188</v>
      </c>
      <c r="P663" s="1440"/>
      <c r="Q663" s="1374"/>
      <c r="R663" s="1374"/>
      <c r="T663" s="22"/>
      <c r="U663" t="s">
        <v>948</v>
      </c>
      <c r="Z663" s="1430">
        <v>6265861897</v>
      </c>
      <c r="AA663" s="1374"/>
      <c r="AB663" s="1374"/>
      <c r="AC663" s="1374"/>
      <c r="AD663" s="1374"/>
      <c r="AE663" s="1374"/>
      <c r="AH663" s="33" t="s">
        <v>1188</v>
      </c>
      <c r="AI663" s="1440"/>
      <c r="AJ663" s="1374"/>
      <c r="AK663" s="1374"/>
      <c r="AZ663" s="34"/>
      <c r="BA663" s="34"/>
      <c r="BB663" s="34"/>
      <c r="BC663" s="34"/>
      <c r="BD663" s="34"/>
      <c r="BE663" s="34"/>
      <c r="BF663" s="34"/>
      <c r="BG663" s="34"/>
      <c r="BH663" s="34"/>
      <c r="BI663" s="34"/>
      <c r="BJ663" s="34"/>
      <c r="BK663" s="34"/>
      <c r="BL663" s="34"/>
      <c r="BM663" s="34"/>
      <c r="DX663" s="1380" t="e">
        <f t="shared" si="3"/>
        <v>#VALUE!</v>
      </c>
      <c r="DY663" s="1263"/>
      <c r="DZ663" s="1263"/>
      <c r="EA663" s="1263"/>
      <c r="EB663" s="1264"/>
      <c r="EC663" s="1380" t="e">
        <f t="shared" si="4"/>
        <v>#VALUE!</v>
      </c>
      <c r="ED663" s="1263"/>
      <c r="EE663" s="1263"/>
      <c r="EF663" s="1263"/>
      <c r="EG663" s="1264"/>
      <c r="EH663" s="1380" t="e">
        <f t="shared" si="5"/>
        <v>#VALUE!</v>
      </c>
      <c r="EI663" s="1263"/>
      <c r="EJ663" s="1263"/>
      <c r="EK663" s="1263"/>
      <c r="EL663" s="1264"/>
      <c r="EM663" s="1380">
        <f t="shared" si="6"/>
        <v>428.28571428571428</v>
      </c>
      <c r="EN663" s="1263"/>
      <c r="EO663" s="1263"/>
      <c r="EP663" s="1263"/>
      <c r="EQ663" s="1264"/>
      <c r="ER663" s="1380" t="e">
        <f t="shared" si="7"/>
        <v>#VALUE!</v>
      </c>
      <c r="ES663" s="1263"/>
      <c r="ET663" s="1263"/>
      <c r="EU663" s="1263"/>
      <c r="EV663" s="1264"/>
      <c r="EW663" s="1380" t="e">
        <f t="shared" si="8"/>
        <v>#VALUE!</v>
      </c>
      <c r="EX663" s="1263"/>
      <c r="EY663" s="1263"/>
      <c r="EZ663" s="1263"/>
      <c r="FA663" s="1264"/>
    </row>
    <row r="664" spans="1:157" ht="12.9" customHeight="1">
      <c r="A664" s="22"/>
      <c r="B664" t="s">
        <v>1500</v>
      </c>
      <c r="H664" s="1393" t="s">
        <v>2738</v>
      </c>
      <c r="I664" s="1294"/>
      <c r="J664" s="1294"/>
      <c r="K664" s="1294"/>
      <c r="L664" s="1294"/>
      <c r="M664" s="1294"/>
      <c r="N664" s="1294"/>
      <c r="O664" s="1294"/>
      <c r="P664" s="1294"/>
      <c r="Q664" s="1294"/>
      <c r="R664" s="1294"/>
      <c r="T664" s="22"/>
      <c r="U664" t="s">
        <v>1500</v>
      </c>
      <c r="AA664" s="1393" t="s">
        <v>2738</v>
      </c>
      <c r="AB664" s="1294"/>
      <c r="AC664" s="1294"/>
      <c r="AD664" s="1294"/>
      <c r="AE664" s="1294"/>
      <c r="AF664" s="1294"/>
      <c r="AG664" s="1294"/>
      <c r="AH664" s="1294"/>
      <c r="AI664" s="1294"/>
      <c r="AJ664" s="1294"/>
      <c r="AK664" s="1294"/>
      <c r="AZ664" s="34"/>
      <c r="BA664" s="34"/>
      <c r="BB664" s="34"/>
      <c r="BC664" s="34"/>
      <c r="BD664" s="34"/>
      <c r="BE664" s="34"/>
      <c r="BF664" s="34"/>
      <c r="BG664" s="34"/>
      <c r="BH664" s="34"/>
      <c r="BI664" s="34"/>
      <c r="BJ664" s="34"/>
      <c r="BK664" s="34"/>
      <c r="BL664" s="34"/>
      <c r="BM664" s="34"/>
      <c r="DX664" s="1380" t="e">
        <f t="shared" si="3"/>
        <v>#VALUE!</v>
      </c>
      <c r="DY664" s="1263"/>
      <c r="DZ664" s="1263"/>
      <c r="EA664" s="1263"/>
      <c r="EB664" s="1264"/>
      <c r="EC664" s="1380" t="e">
        <f t="shared" si="4"/>
        <v>#VALUE!</v>
      </c>
      <c r="ED664" s="1263"/>
      <c r="EE664" s="1263"/>
      <c r="EF664" s="1263"/>
      <c r="EG664" s="1264"/>
      <c r="EH664" s="1380" t="e">
        <f t="shared" si="5"/>
        <v>#VALUE!</v>
      </c>
      <c r="EI664" s="1263"/>
      <c r="EJ664" s="1263"/>
      <c r="EK664" s="1263"/>
      <c r="EL664" s="1264"/>
      <c r="EM664" s="1380">
        <f t="shared" si="6"/>
        <v>326.57142857142856</v>
      </c>
      <c r="EN664" s="1263"/>
      <c r="EO664" s="1263"/>
      <c r="EP664" s="1263"/>
      <c r="EQ664" s="1264"/>
      <c r="ER664" s="1380" t="e">
        <f t="shared" si="7"/>
        <v>#VALUE!</v>
      </c>
      <c r="ES664" s="1263"/>
      <c r="ET664" s="1263"/>
      <c r="EU664" s="1263"/>
      <c r="EV664" s="1264"/>
      <c r="EW664" s="1380" t="e">
        <f t="shared" si="8"/>
        <v>#VALUE!</v>
      </c>
      <c r="EX664" s="1263"/>
      <c r="EY664" s="1263"/>
      <c r="EZ664" s="1263"/>
      <c r="FA664" s="1264"/>
    </row>
    <row r="665" spans="1:157" ht="12.9" customHeight="1">
      <c r="A665" s="22"/>
      <c r="B665" t="s">
        <v>1502</v>
      </c>
      <c r="N665" s="1401" t="s">
        <v>969</v>
      </c>
      <c r="O665" s="1294"/>
      <c r="T665" s="22"/>
      <c r="U665" t="s">
        <v>1502</v>
      </c>
      <c r="AG665" s="1401" t="s">
        <v>969</v>
      </c>
      <c r="AH665" s="1294"/>
      <c r="AZ665" s="34"/>
      <c r="BA665" s="34"/>
      <c r="BB665" s="34"/>
      <c r="BC665" s="34"/>
      <c r="BD665" s="34"/>
      <c r="BE665" s="34"/>
      <c r="BF665" s="34"/>
      <c r="BG665" s="34"/>
      <c r="BH665" s="34"/>
      <c r="BI665" s="34"/>
      <c r="BJ665" s="34"/>
      <c r="BK665" s="34"/>
      <c r="BL665" s="34"/>
      <c r="BM665" s="34"/>
      <c r="DX665" s="1380" t="e">
        <f t="shared" si="3"/>
        <v>#VALUE!</v>
      </c>
      <c r="DY665" s="1263"/>
      <c r="DZ665" s="1263"/>
      <c r="EA665" s="1263"/>
      <c r="EB665" s="1264"/>
      <c r="EC665" s="1380" t="e">
        <f t="shared" si="4"/>
        <v>#VALUE!</v>
      </c>
      <c r="ED665" s="1263"/>
      <c r="EE665" s="1263"/>
      <c r="EF665" s="1263"/>
      <c r="EG665" s="1264"/>
      <c r="EH665" s="1380" t="e">
        <f t="shared" si="5"/>
        <v>#VALUE!</v>
      </c>
      <c r="EI665" s="1263"/>
      <c r="EJ665" s="1263"/>
      <c r="EK665" s="1263"/>
      <c r="EL665" s="1264"/>
      <c r="EM665" s="1380" t="e">
        <f t="shared" si="6"/>
        <v>#VALUE!</v>
      </c>
      <c r="EN665" s="1263"/>
      <c r="EO665" s="1263"/>
      <c r="EP665" s="1263"/>
      <c r="EQ665" s="1264"/>
      <c r="ER665" s="1380">
        <f t="shared" si="7"/>
        <v>203.33333333333331</v>
      </c>
      <c r="ES665" s="1263"/>
      <c r="ET665" s="1263"/>
      <c r="EU665" s="1263"/>
      <c r="EV665" s="1264"/>
      <c r="EW665" s="1380" t="e">
        <f t="shared" si="8"/>
        <v>#VALUE!</v>
      </c>
      <c r="EX665" s="1263"/>
      <c r="EY665" s="1263"/>
      <c r="EZ665" s="1263"/>
      <c r="FA665" s="1264"/>
    </row>
    <row r="666" spans="1:157" ht="12.9" customHeight="1">
      <c r="A666" s="22"/>
      <c r="T666" s="22"/>
      <c r="AZ666" s="34"/>
      <c r="BA666" s="34"/>
      <c r="BB666" s="34"/>
      <c r="BC666" s="34"/>
      <c r="BD666" s="34"/>
      <c r="BE666" s="34"/>
      <c r="BF666" s="34"/>
      <c r="BG666" s="34"/>
      <c r="BH666" s="34"/>
      <c r="BI666" s="34"/>
      <c r="BJ666" s="34"/>
      <c r="BK666" s="34"/>
      <c r="BL666" s="34"/>
      <c r="BM666" s="34"/>
      <c r="DX666" s="1380" t="e">
        <f t="shared" si="3"/>
        <v>#VALUE!</v>
      </c>
      <c r="DY666" s="1263"/>
      <c r="DZ666" s="1263"/>
      <c r="EA666" s="1263"/>
      <c r="EB666" s="1264"/>
      <c r="EC666" s="1380" t="e">
        <f t="shared" si="4"/>
        <v>#VALUE!</v>
      </c>
      <c r="ED666" s="1263"/>
      <c r="EE666" s="1263"/>
      <c r="EF666" s="1263"/>
      <c r="EG666" s="1264"/>
      <c r="EH666" s="1380" t="e">
        <f t="shared" si="5"/>
        <v>#VALUE!</v>
      </c>
      <c r="EI666" s="1263"/>
      <c r="EJ666" s="1263"/>
      <c r="EK666" s="1263"/>
      <c r="EL666" s="1264"/>
      <c r="EM666" s="1380" t="e">
        <f t="shared" si="6"/>
        <v>#VALUE!</v>
      </c>
      <c r="EN666" s="1263"/>
      <c r="EO666" s="1263"/>
      <c r="EP666" s="1263"/>
      <c r="EQ666" s="1264"/>
      <c r="ER666" s="1380">
        <f t="shared" si="7"/>
        <v>1399.3333333333333</v>
      </c>
      <c r="ES666" s="1263"/>
      <c r="ET666" s="1263"/>
      <c r="EU666" s="1263"/>
      <c r="EV666" s="1264"/>
      <c r="EW666" s="1380" t="e">
        <f t="shared" si="8"/>
        <v>#VALUE!</v>
      </c>
      <c r="EX666" s="1263"/>
      <c r="EY666" s="1263"/>
      <c r="EZ666" s="1263"/>
      <c r="FA666" s="1264"/>
    </row>
    <row r="667" spans="1:157" ht="12.9" customHeight="1">
      <c r="A667" s="55" t="s">
        <v>198</v>
      </c>
      <c r="B667" t="s">
        <v>1494</v>
      </c>
      <c r="G667" s="1421" t="str">
        <f>C639</f>
        <v>Deferred Developer Fee</v>
      </c>
      <c r="H667" s="1405"/>
      <c r="I667" s="1405"/>
      <c r="J667" s="1405"/>
      <c r="K667" s="1405"/>
      <c r="L667" s="1405"/>
      <c r="M667" s="1405"/>
      <c r="N667" s="1405"/>
      <c r="O667" s="1405"/>
      <c r="P667" s="1405"/>
      <c r="Q667" s="1405"/>
      <c r="R667" s="1405"/>
      <c r="T667" s="55" t="s">
        <v>1486</v>
      </c>
      <c r="U667" t="s">
        <v>1494</v>
      </c>
      <c r="Z667" s="1421">
        <f>C640</f>
        <v>0</v>
      </c>
      <c r="AA667" s="1405"/>
      <c r="AB667" s="1405"/>
      <c r="AC667" s="1405"/>
      <c r="AD667" s="1405"/>
      <c r="AE667" s="1405"/>
      <c r="AF667" s="1405"/>
      <c r="AG667" s="1405"/>
      <c r="AH667" s="1405"/>
      <c r="AI667" s="1405"/>
      <c r="AJ667" s="1405"/>
      <c r="AK667" s="1405"/>
      <c r="AZ667" s="34"/>
      <c r="BA667" s="34"/>
      <c r="BB667" s="34"/>
      <c r="BC667" s="34"/>
      <c r="BD667" s="34"/>
      <c r="BE667" s="34"/>
      <c r="BF667" s="34"/>
      <c r="BG667" s="34"/>
      <c r="BH667" s="34"/>
      <c r="BI667" s="34"/>
      <c r="BJ667" s="34"/>
      <c r="BK667" s="34"/>
      <c r="BL667" s="34"/>
      <c r="BM667" s="34"/>
      <c r="DX667" s="1380" t="e">
        <f t="shared" si="3"/>
        <v>#VALUE!</v>
      </c>
      <c r="DY667" s="1263"/>
      <c r="DZ667" s="1263"/>
      <c r="EA667" s="1263"/>
      <c r="EB667" s="1264"/>
      <c r="EC667" s="1380" t="e">
        <f t="shared" si="4"/>
        <v>#VALUE!</v>
      </c>
      <c r="ED667" s="1263"/>
      <c r="EE667" s="1263"/>
      <c r="EF667" s="1263"/>
      <c r="EG667" s="1264"/>
      <c r="EH667" s="1380" t="e">
        <f t="shared" si="5"/>
        <v>#VALUE!</v>
      </c>
      <c r="EI667" s="1263"/>
      <c r="EJ667" s="1263"/>
      <c r="EK667" s="1263"/>
      <c r="EL667" s="1264"/>
      <c r="EM667" s="1380" t="e">
        <f t="shared" si="6"/>
        <v>#VALUE!</v>
      </c>
      <c r="EN667" s="1263"/>
      <c r="EO667" s="1263"/>
      <c r="EP667" s="1263"/>
      <c r="EQ667" s="1264"/>
      <c r="ER667" s="1380">
        <f t="shared" si="7"/>
        <v>423</v>
      </c>
      <c r="ES667" s="1263"/>
      <c r="ET667" s="1263"/>
      <c r="EU667" s="1263"/>
      <c r="EV667" s="1264"/>
      <c r="EW667" s="1380" t="e">
        <f t="shared" si="8"/>
        <v>#VALUE!</v>
      </c>
      <c r="EX667" s="1263"/>
      <c r="EY667" s="1263"/>
      <c r="EZ667" s="1263"/>
      <c r="FA667" s="1264"/>
    </row>
    <row r="668" spans="1:157" ht="12.9" customHeight="1">
      <c r="A668" s="22"/>
      <c r="B668" t="s">
        <v>1181</v>
      </c>
      <c r="G668" s="1393" t="s">
        <v>1182</v>
      </c>
      <c r="H668" s="1294"/>
      <c r="I668" s="1294"/>
      <c r="J668" s="1294"/>
      <c r="K668" s="1294"/>
      <c r="L668" s="1294"/>
      <c r="M668" s="1294"/>
      <c r="N668" s="1294"/>
      <c r="O668" s="1294"/>
      <c r="P668" s="1294"/>
      <c r="Q668" s="1294"/>
      <c r="R668" s="1294"/>
      <c r="T668" s="22"/>
      <c r="U668" t="s">
        <v>1181</v>
      </c>
      <c r="Z668" s="1389"/>
      <c r="AA668" s="1294"/>
      <c r="AB668" s="1294"/>
      <c r="AC668" s="1294"/>
      <c r="AD668" s="1294"/>
      <c r="AE668" s="1294"/>
      <c r="AF668" s="1294"/>
      <c r="AG668" s="1294"/>
      <c r="AH668" s="1294"/>
      <c r="AI668" s="1294"/>
      <c r="AJ668" s="1294"/>
      <c r="AK668" s="1294"/>
      <c r="AZ668" s="34"/>
      <c r="BA668" s="34"/>
      <c r="BB668" s="34"/>
      <c r="BC668" s="34"/>
      <c r="BD668" s="34"/>
      <c r="BE668" s="34"/>
      <c r="BF668" s="34"/>
      <c r="BG668" s="34"/>
      <c r="BH668" s="34"/>
      <c r="BI668" s="34"/>
      <c r="BJ668" s="34"/>
      <c r="BK668" s="34"/>
      <c r="BL668" s="34"/>
      <c r="BM668" s="34"/>
      <c r="DX668" s="1380" t="e">
        <f t="shared" si="3"/>
        <v>#VALUE!</v>
      </c>
      <c r="DY668" s="1263"/>
      <c r="DZ668" s="1263"/>
      <c r="EA668" s="1263"/>
      <c r="EB668" s="1264"/>
      <c r="EC668" s="1380" t="e">
        <f t="shared" si="4"/>
        <v>#VALUE!</v>
      </c>
      <c r="ED668" s="1263"/>
      <c r="EE668" s="1263"/>
      <c r="EF668" s="1263"/>
      <c r="EG668" s="1264"/>
      <c r="EH668" s="1380" t="e">
        <f t="shared" si="5"/>
        <v>#VALUE!</v>
      </c>
      <c r="EI668" s="1263"/>
      <c r="EJ668" s="1263"/>
      <c r="EK668" s="1263"/>
      <c r="EL668" s="1264"/>
      <c r="EM668" s="1380" t="e">
        <f t="shared" si="6"/>
        <v>#VALUE!</v>
      </c>
      <c r="EN668" s="1263"/>
      <c r="EO668" s="1263"/>
      <c r="EP668" s="1263"/>
      <c r="EQ668" s="1264"/>
      <c r="ER668" s="1380" t="e">
        <f t="shared" si="7"/>
        <v>#VALUE!</v>
      </c>
      <c r="ES668" s="1263"/>
      <c r="ET668" s="1263"/>
      <c r="EU668" s="1263"/>
      <c r="EV668" s="1264"/>
      <c r="EW668" s="1380" t="e">
        <f t="shared" si="8"/>
        <v>#VALUE!</v>
      </c>
      <c r="EX668" s="1263"/>
      <c r="EY668" s="1263"/>
      <c r="EZ668" s="1263"/>
      <c r="FA668" s="1264"/>
    </row>
    <row r="669" spans="1:157" ht="12.9" customHeight="1">
      <c r="A669" s="22"/>
      <c r="B669" t="s">
        <v>1049</v>
      </c>
      <c r="G669" s="1393" t="s">
        <v>1217</v>
      </c>
      <c r="H669" s="1294"/>
      <c r="I669" s="1294"/>
      <c r="J669" s="1294"/>
      <c r="K669" s="1294"/>
      <c r="L669" s="1294"/>
      <c r="M669" s="1294"/>
      <c r="N669" s="1294"/>
      <c r="O669" s="1294"/>
      <c r="P669" s="1294"/>
      <c r="Q669" s="1294"/>
      <c r="R669" s="1294"/>
      <c r="T669" s="22"/>
      <c r="U669" t="s">
        <v>1049</v>
      </c>
      <c r="Z669" s="1400"/>
      <c r="AA669" s="1374"/>
      <c r="AB669" s="1374"/>
      <c r="AC669" s="1374"/>
      <c r="AD669" s="1374"/>
      <c r="AE669" s="1374"/>
      <c r="AF669" s="1374"/>
      <c r="AG669" s="1374"/>
      <c r="AH669" s="1374"/>
      <c r="AI669" s="1374"/>
      <c r="AJ669" s="1374"/>
      <c r="AK669" s="1374"/>
      <c r="AZ669" s="34"/>
      <c r="BA669" s="34"/>
      <c r="BB669" s="34"/>
      <c r="BC669" s="34"/>
      <c r="BD669" s="34"/>
      <c r="BE669" s="34"/>
      <c r="BF669" s="34"/>
      <c r="BG669" s="34"/>
      <c r="BH669" s="34"/>
      <c r="BI669" s="34"/>
      <c r="BJ669" s="34"/>
      <c r="BK669" s="34"/>
      <c r="BL669" s="34"/>
      <c r="BM669" s="34"/>
      <c r="DX669" s="1380" t="e">
        <f t="shared" si="3"/>
        <v>#VALUE!</v>
      </c>
      <c r="DY669" s="1263"/>
      <c r="DZ669" s="1263"/>
      <c r="EA669" s="1263"/>
      <c r="EB669" s="1264"/>
      <c r="EC669" s="1380" t="e">
        <f t="shared" si="4"/>
        <v>#VALUE!</v>
      </c>
      <c r="ED669" s="1263"/>
      <c r="EE669" s="1263"/>
      <c r="EF669" s="1263"/>
      <c r="EG669" s="1264"/>
      <c r="EH669" s="1380" t="e">
        <f t="shared" si="5"/>
        <v>#VALUE!</v>
      </c>
      <c r="EI669" s="1263"/>
      <c r="EJ669" s="1263"/>
      <c r="EK669" s="1263"/>
      <c r="EL669" s="1264"/>
      <c r="EM669" s="1380" t="e">
        <f t="shared" si="6"/>
        <v>#VALUE!</v>
      </c>
      <c r="EN669" s="1263"/>
      <c r="EO669" s="1263"/>
      <c r="EP669" s="1263"/>
      <c r="EQ669" s="1264"/>
      <c r="ER669" s="1380" t="e">
        <f t="shared" si="7"/>
        <v>#VALUE!</v>
      </c>
      <c r="ES669" s="1263"/>
      <c r="ET669" s="1263"/>
      <c r="EU669" s="1263"/>
      <c r="EV669" s="1264"/>
      <c r="EW669" s="1380" t="e">
        <f t="shared" si="8"/>
        <v>#VALUE!</v>
      </c>
      <c r="EX669" s="1263"/>
      <c r="EY669" s="1263"/>
      <c r="EZ669" s="1263"/>
      <c r="FA669" s="1264"/>
    </row>
    <row r="670" spans="1:157" ht="12.9" customHeight="1">
      <c r="A670" s="22"/>
      <c r="B670" t="s">
        <v>1497</v>
      </c>
      <c r="G670" s="1393" t="s">
        <v>1186</v>
      </c>
      <c r="H670" s="1294"/>
      <c r="I670" s="1294"/>
      <c r="J670" s="1294"/>
      <c r="K670" s="1294"/>
      <c r="L670" s="1294"/>
      <c r="M670" s="1294"/>
      <c r="N670" s="1294"/>
      <c r="O670" s="1294"/>
      <c r="P670" s="1294"/>
      <c r="Q670" s="1294"/>
      <c r="R670" s="1294"/>
      <c r="T670" s="22"/>
      <c r="U670" t="s">
        <v>1497</v>
      </c>
      <c r="Z670" s="1400"/>
      <c r="AA670" s="1374"/>
      <c r="AB670" s="1374"/>
      <c r="AC670" s="1374"/>
      <c r="AD670" s="1374"/>
      <c r="AE670" s="1374"/>
      <c r="AF670" s="1374"/>
      <c r="AG670" s="1374"/>
      <c r="AH670" s="1374"/>
      <c r="AI670" s="1374"/>
      <c r="AJ670" s="1374"/>
      <c r="AK670" s="137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0" t="e">
        <f t="shared" si="3"/>
        <v>#VALUE!</v>
      </c>
      <c r="DY670" s="1263"/>
      <c r="DZ670" s="1263"/>
      <c r="EA670" s="1263"/>
      <c r="EB670" s="1264"/>
      <c r="EC670" s="1380" t="e">
        <f t="shared" si="4"/>
        <v>#VALUE!</v>
      </c>
      <c r="ED670" s="1263"/>
      <c r="EE670" s="1263"/>
      <c r="EF670" s="1263"/>
      <c r="EG670" s="1264"/>
      <c r="EH670" s="1380" t="e">
        <f t="shared" si="5"/>
        <v>#VALUE!</v>
      </c>
      <c r="EI670" s="1263"/>
      <c r="EJ670" s="1263"/>
      <c r="EK670" s="1263"/>
      <c r="EL670" s="1264"/>
      <c r="EM670" s="1380" t="e">
        <f t="shared" si="6"/>
        <v>#VALUE!</v>
      </c>
      <c r="EN670" s="1263"/>
      <c r="EO670" s="1263"/>
      <c r="EP670" s="1263"/>
      <c r="EQ670" s="1264"/>
      <c r="ER670" s="1380" t="e">
        <f t="shared" si="7"/>
        <v>#VALUE!</v>
      </c>
      <c r="ES670" s="1263"/>
      <c r="ET670" s="1263"/>
      <c r="EU670" s="1263"/>
      <c r="EV670" s="1264"/>
      <c r="EW670" s="1380" t="e">
        <f t="shared" si="8"/>
        <v>#VALUE!</v>
      </c>
      <c r="EX670" s="1263"/>
      <c r="EY670" s="1263"/>
      <c r="EZ670" s="1263"/>
      <c r="FA670" s="1264"/>
    </row>
    <row r="671" spans="1:157" ht="12.9" customHeight="1">
      <c r="A671" s="22"/>
      <c r="B671" t="s">
        <v>948</v>
      </c>
      <c r="G671" s="1430">
        <v>3234971705</v>
      </c>
      <c r="H671" s="1374"/>
      <c r="I671" s="1374"/>
      <c r="J671" s="1374"/>
      <c r="K671" s="1374"/>
      <c r="L671" s="1374"/>
      <c r="O671" s="33" t="s">
        <v>1188</v>
      </c>
      <c r="P671" s="1440"/>
      <c r="Q671" s="1374"/>
      <c r="R671" s="1374"/>
      <c r="T671" s="22"/>
      <c r="U671" t="s">
        <v>948</v>
      </c>
      <c r="Z671" s="1430"/>
      <c r="AA671" s="1374"/>
      <c r="AB671" s="1374"/>
      <c r="AC671" s="1374"/>
      <c r="AD671" s="1374"/>
      <c r="AE671" s="1374"/>
      <c r="AH671" s="33" t="s">
        <v>1188</v>
      </c>
      <c r="AI671" s="1440"/>
      <c r="AJ671" s="1374"/>
      <c r="AK671" s="1374"/>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0" t="e">
        <f t="shared" si="3"/>
        <v>#VALUE!</v>
      </c>
      <c r="DY671" s="1263"/>
      <c r="DZ671" s="1263"/>
      <c r="EA671" s="1263"/>
      <c r="EB671" s="1264"/>
      <c r="EC671" s="1380" t="e">
        <f t="shared" si="4"/>
        <v>#VALUE!</v>
      </c>
      <c r="ED671" s="1263"/>
      <c r="EE671" s="1263"/>
      <c r="EF671" s="1263"/>
      <c r="EG671" s="1264"/>
      <c r="EH671" s="1380" t="e">
        <f t="shared" si="5"/>
        <v>#VALUE!</v>
      </c>
      <c r="EI671" s="1263"/>
      <c r="EJ671" s="1263"/>
      <c r="EK671" s="1263"/>
      <c r="EL671" s="1264"/>
      <c r="EM671" s="1380" t="e">
        <f t="shared" si="6"/>
        <v>#VALUE!</v>
      </c>
      <c r="EN671" s="1263"/>
      <c r="EO671" s="1263"/>
      <c r="EP671" s="1263"/>
      <c r="EQ671" s="1264"/>
      <c r="ER671" s="1380" t="e">
        <f t="shared" si="7"/>
        <v>#VALUE!</v>
      </c>
      <c r="ES671" s="1263"/>
      <c r="ET671" s="1263"/>
      <c r="EU671" s="1263"/>
      <c r="EV671" s="1264"/>
      <c r="EW671" s="1380" t="e">
        <f t="shared" si="8"/>
        <v>#VALUE!</v>
      </c>
      <c r="EX671" s="1263"/>
      <c r="EY671" s="1263"/>
      <c r="EZ671" s="1263"/>
      <c r="FA671" s="1264"/>
    </row>
    <row r="672" spans="1:157" ht="12.9" customHeight="1">
      <c r="A672" s="22"/>
      <c r="B672" t="s">
        <v>1500</v>
      </c>
      <c r="H672" s="1393" t="s">
        <v>1513</v>
      </c>
      <c r="I672" s="1294"/>
      <c r="J672" s="1294"/>
      <c r="K672" s="1294"/>
      <c r="L672" s="1294"/>
      <c r="M672" s="1294"/>
      <c r="N672" s="1294"/>
      <c r="O672" s="1294"/>
      <c r="P672" s="1294"/>
      <c r="Q672" s="1294"/>
      <c r="R672" s="1294"/>
      <c r="T672" s="22"/>
      <c r="U672" t="s">
        <v>1500</v>
      </c>
      <c r="AA672" s="1389"/>
      <c r="AB672" s="1294"/>
      <c r="AC672" s="1294"/>
      <c r="AD672" s="1294"/>
      <c r="AE672" s="1294"/>
      <c r="AF672" s="1294"/>
      <c r="AG672" s="1294"/>
      <c r="AH672" s="1294"/>
      <c r="AI672" s="1294"/>
      <c r="AJ672" s="1294"/>
      <c r="AK672" s="1294"/>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0" t="e">
        <f t="shared" si="3"/>
        <v>#VALUE!</v>
      </c>
      <c r="DY672" s="1263"/>
      <c r="DZ672" s="1263"/>
      <c r="EA672" s="1263"/>
      <c r="EB672" s="1264"/>
      <c r="EC672" s="1380" t="e">
        <f t="shared" si="4"/>
        <v>#VALUE!</v>
      </c>
      <c r="ED672" s="1263"/>
      <c r="EE672" s="1263"/>
      <c r="EF672" s="1263"/>
      <c r="EG672" s="1264"/>
      <c r="EH672" s="1380" t="e">
        <f t="shared" si="5"/>
        <v>#VALUE!</v>
      </c>
      <c r="EI672" s="1263"/>
      <c r="EJ672" s="1263"/>
      <c r="EK672" s="1263"/>
      <c r="EL672" s="1264"/>
      <c r="EM672" s="1380" t="e">
        <f t="shared" si="6"/>
        <v>#VALUE!</v>
      </c>
      <c r="EN672" s="1263"/>
      <c r="EO672" s="1263"/>
      <c r="EP672" s="1263"/>
      <c r="EQ672" s="1264"/>
      <c r="ER672" s="1380" t="e">
        <f t="shared" si="7"/>
        <v>#VALUE!</v>
      </c>
      <c r="ES672" s="1263"/>
      <c r="ET672" s="1263"/>
      <c r="EU672" s="1263"/>
      <c r="EV672" s="1264"/>
      <c r="EW672" s="1380" t="e">
        <f t="shared" si="8"/>
        <v>#VALUE!</v>
      </c>
      <c r="EX672" s="1263"/>
      <c r="EY672" s="1263"/>
      <c r="EZ672" s="1263"/>
      <c r="FA672" s="1264"/>
    </row>
    <row r="673" spans="1:157" ht="12.9" customHeight="1">
      <c r="A673" s="22"/>
      <c r="B673" t="s">
        <v>1502</v>
      </c>
      <c r="N673" s="1401" t="s">
        <v>969</v>
      </c>
      <c r="O673" s="1294"/>
      <c r="T673" s="22"/>
      <c r="U673" t="s">
        <v>1502</v>
      </c>
      <c r="AG673" s="1401" t="s">
        <v>811</v>
      </c>
      <c r="AH673" s="1294"/>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0" t="e">
        <f t="shared" si="3"/>
        <v>#VALUE!</v>
      </c>
      <c r="DY673" s="1263"/>
      <c r="DZ673" s="1263"/>
      <c r="EA673" s="1263"/>
      <c r="EB673" s="1264"/>
      <c r="EC673" s="1380" t="e">
        <f t="shared" si="4"/>
        <v>#VALUE!</v>
      </c>
      <c r="ED673" s="1263"/>
      <c r="EE673" s="1263"/>
      <c r="EF673" s="1263"/>
      <c r="EG673" s="1264"/>
      <c r="EH673" s="1380" t="e">
        <f t="shared" si="5"/>
        <v>#VALUE!</v>
      </c>
      <c r="EI673" s="1263"/>
      <c r="EJ673" s="1263"/>
      <c r="EK673" s="1263"/>
      <c r="EL673" s="1264"/>
      <c r="EM673" s="1380" t="e">
        <f t="shared" si="6"/>
        <v>#VALUE!</v>
      </c>
      <c r="EN673" s="1263"/>
      <c r="EO673" s="1263"/>
      <c r="EP673" s="1263"/>
      <c r="EQ673" s="1264"/>
      <c r="ER673" s="1380" t="e">
        <f t="shared" si="7"/>
        <v>#VALUE!</v>
      </c>
      <c r="ES673" s="1263"/>
      <c r="ET673" s="1263"/>
      <c r="EU673" s="1263"/>
      <c r="EV673" s="1264"/>
      <c r="EW673" s="1380" t="e">
        <f t="shared" si="8"/>
        <v>#VALUE!</v>
      </c>
      <c r="EX673" s="1263"/>
      <c r="EY673" s="1263"/>
      <c r="EZ673" s="1263"/>
      <c r="FA673" s="1264"/>
    </row>
    <row r="674" spans="1:157" ht="12.9"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0" t="e">
        <f t="shared" si="3"/>
        <v>#VALUE!</v>
      </c>
      <c r="DY674" s="1263"/>
      <c r="DZ674" s="1263"/>
      <c r="EA674" s="1263"/>
      <c r="EB674" s="1264"/>
      <c r="EC674" s="1380" t="e">
        <f t="shared" si="4"/>
        <v>#VALUE!</v>
      </c>
      <c r="ED674" s="1263"/>
      <c r="EE674" s="1263"/>
      <c r="EF674" s="1263"/>
      <c r="EG674" s="1264"/>
      <c r="EH674" s="1380" t="e">
        <f t="shared" si="5"/>
        <v>#VALUE!</v>
      </c>
      <c r="EI674" s="1263"/>
      <c r="EJ674" s="1263"/>
      <c r="EK674" s="1263"/>
      <c r="EL674" s="1264"/>
      <c r="EM674" s="1380" t="e">
        <f t="shared" si="6"/>
        <v>#VALUE!</v>
      </c>
      <c r="EN674" s="1263"/>
      <c r="EO674" s="1263"/>
      <c r="EP674" s="1263"/>
      <c r="EQ674" s="1264"/>
      <c r="ER674" s="1380" t="e">
        <f t="shared" si="7"/>
        <v>#VALUE!</v>
      </c>
      <c r="ES674" s="1263"/>
      <c r="ET674" s="1263"/>
      <c r="EU674" s="1263"/>
      <c r="EV674" s="1264"/>
      <c r="EW674" s="1380" t="e">
        <f t="shared" si="8"/>
        <v>#VALUE!</v>
      </c>
      <c r="EX674" s="1263"/>
      <c r="EY674" s="1263"/>
      <c r="EZ674" s="1263"/>
      <c r="FA674" s="1264"/>
    </row>
    <row r="675" spans="1:157" ht="12.9" customHeight="1">
      <c r="A675" s="55" t="s">
        <v>1487</v>
      </c>
      <c r="B675" t="s">
        <v>1494</v>
      </c>
      <c r="G675" s="1421">
        <f>C641</f>
        <v>0</v>
      </c>
      <c r="H675" s="1405"/>
      <c r="I675" s="1405"/>
      <c r="J675" s="1405"/>
      <c r="K675" s="1405"/>
      <c r="L675" s="1405"/>
      <c r="M675" s="1405"/>
      <c r="N675" s="1405"/>
      <c r="O675" s="1405"/>
      <c r="P675" s="1405"/>
      <c r="Q675" s="1405"/>
      <c r="R675" s="1405"/>
      <c r="T675" s="55" t="s">
        <v>1488</v>
      </c>
      <c r="U675" t="s">
        <v>1494</v>
      </c>
      <c r="Z675" s="1421">
        <f>C642</f>
        <v>0</v>
      </c>
      <c r="AA675" s="1405"/>
      <c r="AB675" s="1405"/>
      <c r="AC675" s="1405"/>
      <c r="AD675" s="1405"/>
      <c r="AE675" s="1405"/>
      <c r="AF675" s="1405"/>
      <c r="AG675" s="1405"/>
      <c r="AH675" s="1405"/>
      <c r="AI675" s="1405"/>
      <c r="AJ675" s="1405"/>
      <c r="AK675" s="1405"/>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0" t="e">
        <f t="shared" si="3"/>
        <v>#VALUE!</v>
      </c>
      <c r="DY675" s="1263"/>
      <c r="DZ675" s="1263"/>
      <c r="EA675" s="1263"/>
      <c r="EB675" s="1264"/>
      <c r="EC675" s="1380" t="e">
        <f t="shared" si="4"/>
        <v>#VALUE!</v>
      </c>
      <c r="ED675" s="1263"/>
      <c r="EE675" s="1263"/>
      <c r="EF675" s="1263"/>
      <c r="EG675" s="1264"/>
      <c r="EH675" s="1380" t="e">
        <f t="shared" si="5"/>
        <v>#VALUE!</v>
      </c>
      <c r="EI675" s="1263"/>
      <c r="EJ675" s="1263"/>
      <c r="EK675" s="1263"/>
      <c r="EL675" s="1264"/>
      <c r="EM675" s="1380" t="e">
        <f t="shared" si="6"/>
        <v>#VALUE!</v>
      </c>
      <c r="EN675" s="1263"/>
      <c r="EO675" s="1263"/>
      <c r="EP675" s="1263"/>
      <c r="EQ675" s="1264"/>
      <c r="ER675" s="1380" t="e">
        <f t="shared" si="7"/>
        <v>#VALUE!</v>
      </c>
      <c r="ES675" s="1263"/>
      <c r="ET675" s="1263"/>
      <c r="EU675" s="1263"/>
      <c r="EV675" s="1264"/>
      <c r="EW675" s="1380" t="e">
        <f t="shared" si="8"/>
        <v>#VALUE!</v>
      </c>
      <c r="EX675" s="1263"/>
      <c r="EY675" s="1263"/>
      <c r="EZ675" s="1263"/>
      <c r="FA675" s="1264"/>
    </row>
    <row r="676" spans="1:157" ht="12.9" customHeight="1">
      <c r="A676" s="22"/>
      <c r="B676" t="s">
        <v>1181</v>
      </c>
      <c r="G676" s="1389"/>
      <c r="H676" s="1294"/>
      <c r="I676" s="1294"/>
      <c r="J676" s="1294"/>
      <c r="K676" s="1294"/>
      <c r="L676" s="1294"/>
      <c r="M676" s="1294"/>
      <c r="N676" s="1294"/>
      <c r="O676" s="1294"/>
      <c r="P676" s="1294"/>
      <c r="Q676" s="1294"/>
      <c r="R676" s="1294"/>
      <c r="T676" s="22"/>
      <c r="U676" t="s">
        <v>1181</v>
      </c>
      <c r="Z676" s="1389"/>
      <c r="AA676" s="1294"/>
      <c r="AB676" s="1294"/>
      <c r="AC676" s="1294"/>
      <c r="AD676" s="1294"/>
      <c r="AE676" s="1294"/>
      <c r="AF676" s="1294"/>
      <c r="AG676" s="1294"/>
      <c r="AH676" s="1294"/>
      <c r="AI676" s="1294"/>
      <c r="AJ676" s="1294"/>
      <c r="AK676" s="1294"/>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0" t="e">
        <f t="shared" si="3"/>
        <v>#VALUE!</v>
      </c>
      <c r="DY676" s="1263"/>
      <c r="DZ676" s="1263"/>
      <c r="EA676" s="1263"/>
      <c r="EB676" s="1264"/>
      <c r="EC676" s="1380" t="e">
        <f t="shared" si="4"/>
        <v>#VALUE!</v>
      </c>
      <c r="ED676" s="1263"/>
      <c r="EE676" s="1263"/>
      <c r="EF676" s="1263"/>
      <c r="EG676" s="1264"/>
      <c r="EH676" s="1380" t="e">
        <f t="shared" si="5"/>
        <v>#VALUE!</v>
      </c>
      <c r="EI676" s="1263"/>
      <c r="EJ676" s="1263"/>
      <c r="EK676" s="1263"/>
      <c r="EL676" s="1264"/>
      <c r="EM676" s="1380" t="e">
        <f t="shared" si="6"/>
        <v>#VALUE!</v>
      </c>
      <c r="EN676" s="1263"/>
      <c r="EO676" s="1263"/>
      <c r="EP676" s="1263"/>
      <c r="EQ676" s="1264"/>
      <c r="ER676" s="1380" t="e">
        <f t="shared" si="7"/>
        <v>#VALUE!</v>
      </c>
      <c r="ES676" s="1263"/>
      <c r="ET676" s="1263"/>
      <c r="EU676" s="1263"/>
      <c r="EV676" s="1264"/>
      <c r="EW676" s="1380" t="e">
        <f t="shared" si="8"/>
        <v>#VALUE!</v>
      </c>
      <c r="EX676" s="1263"/>
      <c r="EY676" s="1263"/>
      <c r="EZ676" s="1263"/>
      <c r="FA676" s="1264"/>
    </row>
    <row r="677" spans="1:157" ht="12.9" customHeight="1">
      <c r="A677" s="22"/>
      <c r="B677" t="s">
        <v>1049</v>
      </c>
      <c r="G677" s="1389"/>
      <c r="H677" s="1294"/>
      <c r="I677" s="1294"/>
      <c r="J677" s="1294"/>
      <c r="K677" s="1294"/>
      <c r="L677" s="1294"/>
      <c r="M677" s="1294"/>
      <c r="N677" s="1294"/>
      <c r="O677" s="1294"/>
      <c r="P677" s="1294"/>
      <c r="Q677" s="1294"/>
      <c r="R677" s="1294"/>
      <c r="T677" s="22"/>
      <c r="U677" t="s">
        <v>1049</v>
      </c>
      <c r="Z677" s="1400"/>
      <c r="AA677" s="1374"/>
      <c r="AB677" s="1374"/>
      <c r="AC677" s="1374"/>
      <c r="AD677" s="1374"/>
      <c r="AE677" s="1374"/>
      <c r="AF677" s="1374"/>
      <c r="AG677" s="1374"/>
      <c r="AH677" s="1374"/>
      <c r="AI677" s="1374"/>
      <c r="AJ677" s="1374"/>
      <c r="AK677" s="137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0" t="e">
        <f t="shared" si="3"/>
        <v>#VALUE!</v>
      </c>
      <c r="DY677" s="1263"/>
      <c r="DZ677" s="1263"/>
      <c r="EA677" s="1263"/>
      <c r="EB677" s="1264"/>
      <c r="EC677" s="1380" t="e">
        <f t="shared" si="4"/>
        <v>#VALUE!</v>
      </c>
      <c r="ED677" s="1263"/>
      <c r="EE677" s="1263"/>
      <c r="EF677" s="1263"/>
      <c r="EG677" s="1264"/>
      <c r="EH677" s="1380" t="e">
        <f t="shared" si="5"/>
        <v>#VALUE!</v>
      </c>
      <c r="EI677" s="1263"/>
      <c r="EJ677" s="1263"/>
      <c r="EK677" s="1263"/>
      <c r="EL677" s="1264"/>
      <c r="EM677" s="1380" t="e">
        <f t="shared" si="6"/>
        <v>#VALUE!</v>
      </c>
      <c r="EN677" s="1263"/>
      <c r="EO677" s="1263"/>
      <c r="EP677" s="1263"/>
      <c r="EQ677" s="1264"/>
      <c r="ER677" s="1380" t="e">
        <f t="shared" si="7"/>
        <v>#VALUE!</v>
      </c>
      <c r="ES677" s="1263"/>
      <c r="ET677" s="1263"/>
      <c r="EU677" s="1263"/>
      <c r="EV677" s="1264"/>
      <c r="EW677" s="1380" t="e">
        <f t="shared" si="8"/>
        <v>#VALUE!</v>
      </c>
      <c r="EX677" s="1263"/>
      <c r="EY677" s="1263"/>
      <c r="EZ677" s="1263"/>
      <c r="FA677" s="1264"/>
    </row>
    <row r="678" spans="1:157" ht="12.9" customHeight="1">
      <c r="A678" s="22"/>
      <c r="B678" t="s">
        <v>1497</v>
      </c>
      <c r="G678" s="1389"/>
      <c r="H678" s="1294"/>
      <c r="I678" s="1294"/>
      <c r="J678" s="1294"/>
      <c r="K678" s="1294"/>
      <c r="L678" s="1294"/>
      <c r="M678" s="1294"/>
      <c r="N678" s="1294"/>
      <c r="O678" s="1294"/>
      <c r="P678" s="1294"/>
      <c r="Q678" s="1294"/>
      <c r="R678" s="1294"/>
      <c r="T678" s="22"/>
      <c r="U678" t="s">
        <v>1497</v>
      </c>
      <c r="Z678" s="1400"/>
      <c r="AA678" s="1374"/>
      <c r="AB678" s="1374"/>
      <c r="AC678" s="1374"/>
      <c r="AD678" s="1374"/>
      <c r="AE678" s="1374"/>
      <c r="AF678" s="1374"/>
      <c r="AG678" s="1374"/>
      <c r="AH678" s="1374"/>
      <c r="AI678" s="1374"/>
      <c r="AJ678" s="1374"/>
      <c r="AK678" s="137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0">
        <f>SUMIF(DX643:EB677,"&gt;0")</f>
        <v>0</v>
      </c>
      <c r="DY678" s="1263"/>
      <c r="DZ678" s="1263"/>
      <c r="EA678" s="1263"/>
      <c r="EB678" s="1264"/>
      <c r="EC678" s="1380">
        <f>SUMIF(EC643:EG677,"&gt;0")</f>
        <v>1324.6666666666665</v>
      </c>
      <c r="ED678" s="1263"/>
      <c r="EE678" s="1263"/>
      <c r="EF678" s="1263"/>
      <c r="EG678" s="1264"/>
      <c r="EH678" s="1380">
        <f>SUMIF(EH643:EL677,"&gt;0")</f>
        <v>1498.6666666666667</v>
      </c>
      <c r="EI678" s="1263"/>
      <c r="EJ678" s="1263"/>
      <c r="EK678" s="1263"/>
      <c r="EL678" s="1264"/>
      <c r="EM678" s="1380">
        <f>SUMIF(EM643:EQ677,"&gt;0")</f>
        <v>1787.1785714285711</v>
      </c>
      <c r="EN678" s="1263"/>
      <c r="EO678" s="1263"/>
      <c r="EP678" s="1263"/>
      <c r="EQ678" s="1264"/>
      <c r="ER678" s="1380">
        <f>SUMIF(ER643:EV677,"&gt;0")</f>
        <v>2025.6666666666665</v>
      </c>
      <c r="ES678" s="1263"/>
      <c r="ET678" s="1263"/>
      <c r="EU678" s="1263"/>
      <c r="EV678" s="1264"/>
      <c r="EW678" s="1380">
        <f>SUMIF(EW643:FA677,"&gt;0")</f>
        <v>0</v>
      </c>
      <c r="EX678" s="1263"/>
      <c r="EY678" s="1263"/>
      <c r="EZ678" s="1263"/>
      <c r="FA678" s="1264"/>
    </row>
    <row r="679" spans="1:157" ht="12.9" customHeight="1">
      <c r="A679" s="22"/>
      <c r="B679" t="s">
        <v>948</v>
      </c>
      <c r="G679" s="1430"/>
      <c r="H679" s="1374"/>
      <c r="I679" s="1374"/>
      <c r="J679" s="1374"/>
      <c r="K679" s="1374"/>
      <c r="L679" s="1374"/>
      <c r="O679" s="33" t="s">
        <v>1188</v>
      </c>
      <c r="P679" s="1440"/>
      <c r="Q679" s="1374"/>
      <c r="R679" s="1374"/>
      <c r="T679" s="22"/>
      <c r="U679" t="s">
        <v>948</v>
      </c>
      <c r="Z679" s="1430"/>
      <c r="AA679" s="1374"/>
      <c r="AB679" s="1374"/>
      <c r="AC679" s="1374"/>
      <c r="AD679" s="1374"/>
      <c r="AE679" s="1374"/>
      <c r="AH679" s="33" t="s">
        <v>1188</v>
      </c>
      <c r="AI679" s="1440"/>
      <c r="AJ679" s="1374"/>
      <c r="AK679" s="1374"/>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 customHeight="1">
      <c r="A680" s="22"/>
      <c r="B680" t="s">
        <v>1500</v>
      </c>
      <c r="H680" s="1389"/>
      <c r="I680" s="1294"/>
      <c r="J680" s="1294"/>
      <c r="K680" s="1294"/>
      <c r="L680" s="1294"/>
      <c r="M680" s="1294"/>
      <c r="N680" s="1294"/>
      <c r="O680" s="1294"/>
      <c r="P680" s="1294"/>
      <c r="Q680" s="1294"/>
      <c r="R680" s="1294"/>
      <c r="T680" s="22"/>
      <c r="U680" t="s">
        <v>1500</v>
      </c>
      <c r="AA680" s="1389"/>
      <c r="AB680" s="1294"/>
      <c r="AC680" s="1294"/>
      <c r="AD680" s="1294"/>
      <c r="AE680" s="1294"/>
      <c r="AF680" s="1294"/>
      <c r="AG680" s="1294"/>
      <c r="AH680" s="1294"/>
      <c r="AI680" s="1294"/>
      <c r="AJ680" s="1294"/>
      <c r="AK680" s="1294"/>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 customHeight="1">
      <c r="A681" s="22"/>
      <c r="B681" t="s">
        <v>1502</v>
      </c>
      <c r="N681" s="1401" t="s">
        <v>811</v>
      </c>
      <c r="O681" s="1294"/>
      <c r="T681" s="22"/>
      <c r="U681" t="s">
        <v>1502</v>
      </c>
      <c r="AG681" s="1401" t="s">
        <v>811</v>
      </c>
      <c r="AH681" s="1294"/>
      <c r="AZ681" s="3"/>
    </row>
    <row r="682" spans="1:157" ht="12.9" customHeight="1">
      <c r="A682" s="22"/>
      <c r="T682" s="22"/>
      <c r="AZ682" s="3"/>
    </row>
    <row r="683" spans="1:157" ht="12.9" customHeight="1">
      <c r="A683" s="55" t="s">
        <v>1489</v>
      </c>
      <c r="B683" t="s">
        <v>1494</v>
      </c>
      <c r="G683" s="1421">
        <f>C643</f>
        <v>0</v>
      </c>
      <c r="H683" s="1405"/>
      <c r="I683" s="1405"/>
      <c r="J683" s="1405"/>
      <c r="K683" s="1405"/>
      <c r="L683" s="1405"/>
      <c r="M683" s="1405"/>
      <c r="N683" s="1405"/>
      <c r="O683" s="1405"/>
      <c r="P683" s="1405"/>
      <c r="Q683" s="1405"/>
      <c r="R683" s="1405"/>
      <c r="T683" s="55" t="s">
        <v>1490</v>
      </c>
      <c r="U683" t="s">
        <v>1494</v>
      </c>
      <c r="Z683" s="1421">
        <f>C644</f>
        <v>0</v>
      </c>
      <c r="AA683" s="1405"/>
      <c r="AB683" s="1405"/>
      <c r="AC683" s="1405"/>
      <c r="AD683" s="1405"/>
      <c r="AE683" s="1405"/>
      <c r="AF683" s="1405"/>
      <c r="AG683" s="1405"/>
      <c r="AH683" s="1405"/>
      <c r="AI683" s="1405"/>
      <c r="AJ683" s="1405"/>
      <c r="AK683" s="1405"/>
      <c r="AZ683" s="3"/>
    </row>
    <row r="684" spans="1:157" ht="12.9" customHeight="1">
      <c r="A684" s="22"/>
      <c r="B684" t="s">
        <v>1181</v>
      </c>
      <c r="G684" s="1389"/>
      <c r="H684" s="1294"/>
      <c r="I684" s="1294"/>
      <c r="J684" s="1294"/>
      <c r="K684" s="1294"/>
      <c r="L684" s="1294"/>
      <c r="M684" s="1294"/>
      <c r="N684" s="1294"/>
      <c r="O684" s="1294"/>
      <c r="P684" s="1294"/>
      <c r="Q684" s="1294"/>
      <c r="R684" s="1294"/>
      <c r="T684" s="22"/>
      <c r="U684" t="s">
        <v>1181</v>
      </c>
      <c r="Z684" s="1389"/>
      <c r="AA684" s="1294"/>
      <c r="AB684" s="1294"/>
      <c r="AC684" s="1294"/>
      <c r="AD684" s="1294"/>
      <c r="AE684" s="1294"/>
      <c r="AF684" s="1294"/>
      <c r="AG684" s="1294"/>
      <c r="AH684" s="1294"/>
      <c r="AI684" s="1294"/>
      <c r="AJ684" s="1294"/>
      <c r="AK684" s="1294"/>
      <c r="AZ684" s="3"/>
    </row>
    <row r="685" spans="1:157" ht="12.9" customHeight="1">
      <c r="A685" s="22"/>
      <c r="B685" t="s">
        <v>1049</v>
      </c>
      <c r="G685" s="1389"/>
      <c r="H685" s="1294"/>
      <c r="I685" s="1294"/>
      <c r="J685" s="1294"/>
      <c r="K685" s="1294"/>
      <c r="L685" s="1294"/>
      <c r="M685" s="1294"/>
      <c r="N685" s="1294"/>
      <c r="O685" s="1294"/>
      <c r="P685" s="1294"/>
      <c r="Q685" s="1294"/>
      <c r="R685" s="1294"/>
      <c r="T685" s="22"/>
      <c r="U685" t="s">
        <v>1049</v>
      </c>
      <c r="Z685" s="1400"/>
      <c r="AA685" s="1374"/>
      <c r="AB685" s="1374"/>
      <c r="AC685" s="1374"/>
      <c r="AD685" s="1374"/>
      <c r="AE685" s="1374"/>
      <c r="AF685" s="1374"/>
      <c r="AG685" s="1374"/>
      <c r="AH685" s="1374"/>
      <c r="AI685" s="1374"/>
      <c r="AJ685" s="1374"/>
      <c r="AK685" s="1374"/>
      <c r="AZ685" s="3"/>
    </row>
    <row r="686" spans="1:157" ht="12.9" customHeight="1">
      <c r="A686" s="22"/>
      <c r="B686" t="s">
        <v>1497</v>
      </c>
      <c r="G686" s="1389"/>
      <c r="H686" s="1294"/>
      <c r="I686" s="1294"/>
      <c r="J686" s="1294"/>
      <c r="K686" s="1294"/>
      <c r="L686" s="1294"/>
      <c r="M686" s="1294"/>
      <c r="N686" s="1294"/>
      <c r="O686" s="1294"/>
      <c r="P686" s="1294"/>
      <c r="Q686" s="1294"/>
      <c r="R686" s="1294"/>
      <c r="T686" s="22"/>
      <c r="U686" t="s">
        <v>1497</v>
      </c>
      <c r="Z686" s="1400"/>
      <c r="AA686" s="1374"/>
      <c r="AB686" s="1374"/>
      <c r="AC686" s="1374"/>
      <c r="AD686" s="1374"/>
      <c r="AE686" s="1374"/>
      <c r="AF686" s="1374"/>
      <c r="AG686" s="1374"/>
      <c r="AH686" s="1374"/>
      <c r="AI686" s="1374"/>
      <c r="AJ686" s="1374"/>
      <c r="AK686" s="1374"/>
      <c r="AZ686" s="3"/>
    </row>
    <row r="687" spans="1:157" ht="12.9" customHeight="1">
      <c r="A687" s="22"/>
      <c r="B687" t="s">
        <v>948</v>
      </c>
      <c r="G687" s="1430"/>
      <c r="H687" s="1374"/>
      <c r="I687" s="1374"/>
      <c r="J687" s="1374"/>
      <c r="K687" s="1374"/>
      <c r="L687" s="1374"/>
      <c r="O687" s="33" t="s">
        <v>1188</v>
      </c>
      <c r="P687" s="1440"/>
      <c r="Q687" s="1374"/>
      <c r="R687" s="1374"/>
      <c r="T687" s="22"/>
      <c r="U687" t="s">
        <v>948</v>
      </c>
      <c r="Z687" s="1430"/>
      <c r="AA687" s="1374"/>
      <c r="AB687" s="1374"/>
      <c r="AC687" s="1374"/>
      <c r="AD687" s="1374"/>
      <c r="AE687" s="1374"/>
      <c r="AH687" s="33" t="s">
        <v>1188</v>
      </c>
      <c r="AI687" s="1440"/>
      <c r="AJ687" s="1374"/>
      <c r="AK687" s="1374"/>
      <c r="AZ687" s="3"/>
    </row>
    <row r="688" spans="1:157" ht="12.9" customHeight="1">
      <c r="A688" s="22"/>
      <c r="B688" t="s">
        <v>1500</v>
      </c>
      <c r="H688" s="1389"/>
      <c r="I688" s="1294"/>
      <c r="J688" s="1294"/>
      <c r="K688" s="1294"/>
      <c r="L688" s="1294"/>
      <c r="M688" s="1294"/>
      <c r="N688" s="1294"/>
      <c r="O688" s="1294"/>
      <c r="P688" s="1294"/>
      <c r="Q688" s="1294"/>
      <c r="R688" s="1294"/>
      <c r="T688" s="22"/>
      <c r="U688" t="s">
        <v>1500</v>
      </c>
      <c r="AA688" s="1389"/>
      <c r="AB688" s="1294"/>
      <c r="AC688" s="1294"/>
      <c r="AD688" s="1294"/>
      <c r="AE688" s="1294"/>
      <c r="AF688" s="1294"/>
      <c r="AG688" s="1294"/>
      <c r="AH688" s="1294"/>
      <c r="AI688" s="1294"/>
      <c r="AJ688" s="1294"/>
      <c r="AK688" s="1294"/>
      <c r="AZ688" s="3"/>
    </row>
    <row r="689" spans="1:52" ht="12.9" customHeight="1">
      <c r="A689" s="22"/>
      <c r="B689" t="s">
        <v>1502</v>
      </c>
      <c r="N689" s="1401" t="s">
        <v>811</v>
      </c>
      <c r="O689" s="1294"/>
      <c r="T689" s="22"/>
      <c r="U689" t="s">
        <v>1502</v>
      </c>
      <c r="AG689" s="1401" t="s">
        <v>811</v>
      </c>
      <c r="AH689" s="1294"/>
      <c r="AZ689" s="3"/>
    </row>
    <row r="690" spans="1:52" ht="12.9" customHeight="1">
      <c r="A690" s="22"/>
      <c r="T690" s="22"/>
      <c r="AZ690" s="3"/>
    </row>
    <row r="691" spans="1:52" ht="12.9" customHeight="1">
      <c r="A691" s="55" t="s">
        <v>1491</v>
      </c>
      <c r="B691" t="s">
        <v>1494</v>
      </c>
      <c r="G691" s="1421">
        <f>C645</f>
        <v>0</v>
      </c>
      <c r="H691" s="1405"/>
      <c r="I691" s="1405"/>
      <c r="J691" s="1405"/>
      <c r="K691" s="1405"/>
      <c r="L691" s="1405"/>
      <c r="M691" s="1405"/>
      <c r="N691" s="1405"/>
      <c r="O691" s="1405"/>
      <c r="P691" s="1405"/>
      <c r="Q691" s="1405"/>
      <c r="R691" s="1405"/>
      <c r="T691" s="55" t="s">
        <v>1492</v>
      </c>
      <c r="U691" t="s">
        <v>1494</v>
      </c>
      <c r="Z691" s="1421">
        <f>C646</f>
        <v>0</v>
      </c>
      <c r="AA691" s="1405"/>
      <c r="AB691" s="1405"/>
      <c r="AC691" s="1405"/>
      <c r="AD691" s="1405"/>
      <c r="AE691" s="1405"/>
      <c r="AF691" s="1405"/>
      <c r="AG691" s="1405"/>
      <c r="AH691" s="1405"/>
      <c r="AI691" s="1405"/>
      <c r="AJ691" s="1405"/>
      <c r="AK691" s="1405"/>
      <c r="AZ691" s="3"/>
    </row>
    <row r="692" spans="1:52" ht="12.9" customHeight="1">
      <c r="B692" t="s">
        <v>1181</v>
      </c>
      <c r="G692" s="1389"/>
      <c r="H692" s="1294"/>
      <c r="I692" s="1294"/>
      <c r="J692" s="1294"/>
      <c r="K692" s="1294"/>
      <c r="L692" s="1294"/>
      <c r="M692" s="1294"/>
      <c r="N692" s="1294"/>
      <c r="O692" s="1294"/>
      <c r="P692" s="1294"/>
      <c r="Q692" s="1294"/>
      <c r="R692" s="1294"/>
      <c r="T692" s="22"/>
      <c r="U692" t="s">
        <v>1181</v>
      </c>
      <c r="Z692" s="1389"/>
      <c r="AA692" s="1294"/>
      <c r="AB692" s="1294"/>
      <c r="AC692" s="1294"/>
      <c r="AD692" s="1294"/>
      <c r="AE692" s="1294"/>
      <c r="AF692" s="1294"/>
      <c r="AG692" s="1294"/>
      <c r="AH692" s="1294"/>
      <c r="AI692" s="1294"/>
      <c r="AJ692" s="1294"/>
      <c r="AK692" s="1294"/>
      <c r="AZ692" s="3"/>
    </row>
    <row r="693" spans="1:52" ht="12.9" customHeight="1">
      <c r="B693" t="s">
        <v>1049</v>
      </c>
      <c r="G693" s="1389"/>
      <c r="H693" s="1294"/>
      <c r="I693" s="1294"/>
      <c r="J693" s="1294"/>
      <c r="K693" s="1294"/>
      <c r="L693" s="1294"/>
      <c r="M693" s="1294"/>
      <c r="N693" s="1294"/>
      <c r="O693" s="1294"/>
      <c r="P693" s="1294"/>
      <c r="Q693" s="1294"/>
      <c r="R693" s="1294"/>
      <c r="U693" t="s">
        <v>1049</v>
      </c>
      <c r="Z693" s="1400"/>
      <c r="AA693" s="1374"/>
      <c r="AB693" s="1374"/>
      <c r="AC693" s="1374"/>
      <c r="AD693" s="1374"/>
      <c r="AE693" s="1374"/>
      <c r="AF693" s="1374"/>
      <c r="AG693" s="1374"/>
      <c r="AH693" s="1374"/>
      <c r="AI693" s="1374"/>
      <c r="AJ693" s="1374"/>
      <c r="AK693" s="1374"/>
      <c r="AZ693" s="3"/>
    </row>
    <row r="694" spans="1:52" ht="12.9" customHeight="1">
      <c r="B694" t="s">
        <v>1497</v>
      </c>
      <c r="G694" s="1389"/>
      <c r="H694" s="1294"/>
      <c r="I694" s="1294"/>
      <c r="J694" s="1294"/>
      <c r="K694" s="1294"/>
      <c r="L694" s="1294"/>
      <c r="M694" s="1294"/>
      <c r="N694" s="1294"/>
      <c r="O694" s="1294"/>
      <c r="P694" s="1294"/>
      <c r="Q694" s="1294"/>
      <c r="R694" s="1294"/>
      <c r="U694" t="s">
        <v>1497</v>
      </c>
      <c r="Z694" s="1400"/>
      <c r="AA694" s="1374"/>
      <c r="AB694" s="1374"/>
      <c r="AC694" s="1374"/>
      <c r="AD694" s="1374"/>
      <c r="AE694" s="1374"/>
      <c r="AF694" s="1374"/>
      <c r="AG694" s="1374"/>
      <c r="AH694" s="1374"/>
      <c r="AI694" s="1374"/>
      <c r="AJ694" s="1374"/>
      <c r="AK694" s="1374"/>
      <c r="AZ694" s="3"/>
    </row>
    <row r="695" spans="1:52" ht="12.9" customHeight="1">
      <c r="B695" t="s">
        <v>948</v>
      </c>
      <c r="G695" s="1430"/>
      <c r="H695" s="1374"/>
      <c r="I695" s="1374"/>
      <c r="J695" s="1374"/>
      <c r="K695" s="1374"/>
      <c r="L695" s="1374"/>
      <c r="O695" s="33" t="s">
        <v>1188</v>
      </c>
      <c r="P695" s="1440"/>
      <c r="Q695" s="1374"/>
      <c r="R695" s="1374"/>
      <c r="U695" t="s">
        <v>948</v>
      </c>
      <c r="Z695" s="1430"/>
      <c r="AA695" s="1374"/>
      <c r="AB695" s="1374"/>
      <c r="AC695" s="1374"/>
      <c r="AD695" s="1374"/>
      <c r="AE695" s="1374"/>
      <c r="AH695" s="33" t="s">
        <v>1188</v>
      </c>
      <c r="AI695" s="1440"/>
      <c r="AJ695" s="1374"/>
      <c r="AK695" s="1374"/>
      <c r="AZ695" s="3"/>
    </row>
    <row r="696" spans="1:52" ht="12.9" customHeight="1">
      <c r="B696" t="s">
        <v>1500</v>
      </c>
      <c r="H696" s="1389"/>
      <c r="I696" s="1294"/>
      <c r="J696" s="1294"/>
      <c r="K696" s="1294"/>
      <c r="L696" s="1294"/>
      <c r="M696" s="1294"/>
      <c r="N696" s="1294"/>
      <c r="O696" s="1294"/>
      <c r="P696" s="1294"/>
      <c r="Q696" s="1294"/>
      <c r="R696" s="1294"/>
      <c r="U696" t="s">
        <v>1500</v>
      </c>
      <c r="AA696" s="1389"/>
      <c r="AB696" s="1294"/>
      <c r="AC696" s="1294"/>
      <c r="AD696" s="1294"/>
      <c r="AE696" s="1294"/>
      <c r="AF696" s="1294"/>
      <c r="AG696" s="1294"/>
      <c r="AH696" s="1294"/>
      <c r="AI696" s="1294"/>
      <c r="AJ696" s="1294"/>
      <c r="AK696" s="1294"/>
      <c r="AZ696" s="3"/>
    </row>
    <row r="697" spans="1:52" ht="12.9" customHeight="1">
      <c r="B697" t="s">
        <v>1502</v>
      </c>
      <c r="N697" s="1401" t="s">
        <v>811</v>
      </c>
      <c r="O697" s="1294"/>
      <c r="U697" t="s">
        <v>1502</v>
      </c>
      <c r="AG697" s="1401" t="s">
        <v>811</v>
      </c>
      <c r="AH697" s="1294"/>
      <c r="AZ697" s="3"/>
    </row>
    <row r="698" spans="1:52" ht="12.9" customHeight="1">
      <c r="AZ698" s="3"/>
    </row>
    <row r="699" spans="1:52" ht="12.9" customHeight="1">
      <c r="A699" s="2" t="s">
        <v>1031</v>
      </c>
      <c r="C699" s="2" t="s">
        <v>291</v>
      </c>
      <c r="E699" s="130"/>
      <c r="F699" s="130"/>
      <c r="G699" s="130"/>
      <c r="H699" s="130"/>
      <c r="AZ699" s="3"/>
    </row>
    <row r="700" spans="1:52" ht="12.9" customHeight="1">
      <c r="B700" s="135"/>
      <c r="C700" s="135"/>
      <c r="D700" s="1030" t="s">
        <v>1521</v>
      </c>
      <c r="E700" s="135"/>
      <c r="F700" s="135"/>
      <c r="G700" s="135"/>
      <c r="H700" s="135"/>
      <c r="AZ700" s="3"/>
    </row>
    <row r="701" spans="1:52" ht="12.9" customHeight="1">
      <c r="B701" s="135"/>
      <c r="C701" s="135"/>
      <c r="E701" s="136" t="s">
        <v>1522</v>
      </c>
      <c r="F701" s="135"/>
      <c r="G701" s="135"/>
      <c r="H701" s="135"/>
      <c r="AE701" s="1401" t="s">
        <v>969</v>
      </c>
      <c r="AF701" s="1294"/>
      <c r="AZ701" s="3"/>
    </row>
    <row r="702" spans="1:52" ht="12.9" customHeight="1">
      <c r="B702" s="135"/>
      <c r="C702" s="135"/>
      <c r="D702" s="136" t="s">
        <v>1523</v>
      </c>
      <c r="E702" s="135"/>
      <c r="F702" s="135"/>
      <c r="G702" s="135"/>
      <c r="H702" s="135"/>
      <c r="AE702" s="1401" t="s">
        <v>969</v>
      </c>
      <c r="AF702" s="1294"/>
      <c r="AZ702" s="3"/>
    </row>
    <row r="703" spans="1:52" ht="12.9" customHeight="1">
      <c r="B703" s="135"/>
      <c r="C703" s="135"/>
      <c r="D703" s="136" t="s">
        <v>1524</v>
      </c>
      <c r="E703" s="135"/>
      <c r="F703" s="135"/>
      <c r="G703" s="135"/>
      <c r="H703" s="135"/>
      <c r="AE703" s="1543">
        <v>46161</v>
      </c>
      <c r="AF703" s="1294"/>
      <c r="AG703" s="1294"/>
      <c r="AH703" s="1294"/>
      <c r="AI703" s="1294"/>
    </row>
    <row r="704" spans="1:52" ht="12.9" customHeight="1">
      <c r="B704" s="135"/>
      <c r="C704" s="135"/>
      <c r="D704" s="317" t="s">
        <v>1525</v>
      </c>
      <c r="E704" s="135"/>
      <c r="F704" s="135"/>
      <c r="G704" s="135"/>
      <c r="H704" s="135"/>
      <c r="AE704" s="1596">
        <v>46252</v>
      </c>
      <c r="AF704" s="1374"/>
      <c r="AG704" s="1374"/>
      <c r="AH704" s="1374"/>
      <c r="AI704" s="1374"/>
    </row>
    <row r="705" spans="1:110" ht="12.9" customHeight="1">
      <c r="B705" s="135"/>
      <c r="C705" s="135"/>
    </row>
    <row r="706" spans="1:110" ht="12.9" customHeight="1">
      <c r="B706" s="135"/>
      <c r="C706" s="135"/>
      <c r="D706" s="136" t="s">
        <v>1526</v>
      </c>
      <c r="E706" s="135"/>
      <c r="F706" s="135"/>
      <c r="G706" s="135"/>
      <c r="H706" s="135"/>
      <c r="AE706" s="1543">
        <v>46357</v>
      </c>
      <c r="AF706" s="1294"/>
      <c r="AG706" s="1294"/>
      <c r="AH706" s="1294"/>
      <c r="AI706" s="1294"/>
    </row>
    <row r="707" spans="1:110" ht="12.9" customHeight="1">
      <c r="B707" s="135"/>
      <c r="C707" s="135"/>
      <c r="D707" s="136" t="s">
        <v>1527</v>
      </c>
      <c r="E707" s="135"/>
      <c r="F707" s="135"/>
      <c r="G707" s="135"/>
      <c r="H707" s="135"/>
      <c r="AE707" s="1539">
        <v>0.29599999999999999</v>
      </c>
      <c r="AF707" s="1374"/>
      <c r="AG707" s="1374"/>
      <c r="AH707" s="1374"/>
      <c r="AI707" s="1374"/>
    </row>
    <row r="708" spans="1:110" ht="12.9" customHeight="1">
      <c r="B708" s="135"/>
      <c r="C708" s="135"/>
      <c r="D708" s="136" t="s">
        <v>1528</v>
      </c>
      <c r="E708" s="135"/>
      <c r="F708" s="135"/>
      <c r="G708" s="135"/>
      <c r="H708" s="135"/>
      <c r="W708" s="1421" t="str">
        <f>H344</f>
        <v>City of Los Angeles</v>
      </c>
      <c r="X708" s="1405"/>
      <c r="Y708" s="1405"/>
      <c r="Z708" s="1405"/>
      <c r="AA708" s="1405"/>
      <c r="AB708" s="1405"/>
      <c r="AC708" s="1405"/>
      <c r="AD708" s="1405"/>
      <c r="AE708" s="1405"/>
      <c r="AF708" s="1405"/>
      <c r="AG708" s="1405"/>
      <c r="AH708" s="1405"/>
      <c r="AI708" s="1405"/>
      <c r="AJ708" s="1405"/>
      <c r="AK708" s="1405"/>
    </row>
    <row r="709" spans="1:110" ht="12.9" customHeight="1">
      <c r="B709" s="135"/>
      <c r="C709" s="135"/>
      <c r="D709" s="136"/>
      <c r="E709" s="135"/>
      <c r="F709" s="135"/>
      <c r="G709" s="135"/>
      <c r="H709" s="135"/>
    </row>
    <row r="710" spans="1:110" ht="12.9" customHeight="1">
      <c r="B710" s="135"/>
      <c r="C710" s="135"/>
      <c r="D710" s="136" t="s">
        <v>1529</v>
      </c>
      <c r="E710" s="135"/>
      <c r="F710" s="135"/>
      <c r="G710" s="135"/>
      <c r="H710" s="135"/>
      <c r="AE710" s="1401" t="s">
        <v>811</v>
      </c>
      <c r="AF710" s="1294"/>
      <c r="AZ710" t="s">
        <v>954</v>
      </c>
    </row>
    <row r="711" spans="1:110" ht="12.9" customHeight="1">
      <c r="B711" s="135"/>
      <c r="C711" s="135"/>
      <c r="D711" s="136" t="s">
        <v>1530</v>
      </c>
      <c r="E711" s="135"/>
      <c r="F711" s="135"/>
      <c r="G711" s="135"/>
      <c r="H711" s="135"/>
      <c r="W711" s="1389" t="s">
        <v>935</v>
      </c>
      <c r="X711" s="1294"/>
      <c r="Y711" s="1294"/>
      <c r="Z711" s="1294"/>
      <c r="AA711" s="1294"/>
      <c r="AB711" s="1294"/>
      <c r="AC711" s="1294"/>
      <c r="AD711" s="1294"/>
      <c r="AE711" s="1294"/>
      <c r="AF711" s="1294"/>
      <c r="AG711" s="1294"/>
      <c r="AH711" s="1294"/>
      <c r="AI711" s="1294"/>
      <c r="AJ711" s="1294"/>
      <c r="AK711" s="1294"/>
      <c r="AZ711" t="s">
        <v>955</v>
      </c>
    </row>
    <row r="712" spans="1:110" ht="12.9" customHeight="1">
      <c r="B712" s="135"/>
      <c r="C712" s="135"/>
      <c r="D712" s="136" t="s">
        <v>1185</v>
      </c>
      <c r="E712" s="135"/>
      <c r="F712" s="135"/>
      <c r="G712" s="135"/>
      <c r="H712" s="135"/>
      <c r="J712" s="1393" t="s">
        <v>935</v>
      </c>
      <c r="K712" s="1294"/>
      <c r="L712" s="1294"/>
      <c r="M712" s="1294"/>
      <c r="N712" s="1294"/>
      <c r="O712" s="1294"/>
      <c r="P712" s="1294"/>
      <c r="Q712" s="1294"/>
      <c r="R712" s="1294"/>
      <c r="S712" s="1294"/>
      <c r="T712" s="1294"/>
      <c r="U712" s="1294"/>
      <c r="V712" s="1294"/>
      <c r="W712" s="1294"/>
      <c r="X712" s="1294"/>
      <c r="AZ712" t="s">
        <v>956</v>
      </c>
      <c r="BB712" s="34"/>
      <c r="BC712" s="34"/>
      <c r="BD712" s="34"/>
      <c r="BE712" s="3"/>
      <c r="BF712" s="3"/>
      <c r="BJ712" s="3"/>
      <c r="BK712" s="3"/>
      <c r="BL712" s="3"/>
      <c r="BM712" s="3"/>
      <c r="BN712" s="34"/>
      <c r="BO712" s="34"/>
    </row>
    <row r="713" spans="1:110" ht="12.9" customHeight="1">
      <c r="B713" s="135"/>
      <c r="C713" s="135"/>
      <c r="D713" s="136" t="s">
        <v>1187</v>
      </c>
      <c r="J713" s="1459" t="s">
        <v>935</v>
      </c>
      <c r="K713" s="1374"/>
      <c r="L713" s="1374"/>
      <c r="M713" s="1374"/>
      <c r="N713" s="1374"/>
      <c r="O713" s="1374"/>
      <c r="P713" s="4" t="s">
        <v>1188</v>
      </c>
      <c r="Q713" s="4"/>
      <c r="R713" s="1431" t="s">
        <v>935</v>
      </c>
      <c r="S713" s="1374"/>
      <c r="T713" s="1374"/>
      <c r="AZ713" t="s">
        <v>957</v>
      </c>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 customHeight="1">
      <c r="B714" s="135"/>
      <c r="C714" s="135"/>
      <c r="D714" s="136" t="s">
        <v>1531</v>
      </c>
      <c r="W714" s="1389" t="s">
        <v>444</v>
      </c>
      <c r="X714" s="1294"/>
      <c r="Y714" s="1294"/>
      <c r="Z714" s="1294"/>
      <c r="AA714" s="1294"/>
      <c r="AB714" s="1294"/>
      <c r="AC714" s="1294"/>
      <c r="AD714" s="1294"/>
      <c r="AE714" s="1294"/>
      <c r="AF714" s="1294"/>
      <c r="AG714" s="1294"/>
      <c r="AH714" s="1294"/>
      <c r="AI714" s="1294"/>
      <c r="AJ714" s="1294"/>
      <c r="AK714" s="1294"/>
      <c r="AZ714" t="s">
        <v>958</v>
      </c>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 customHeight="1">
      <c r="B715" s="135"/>
      <c r="C715" s="135"/>
      <c r="D715" s="136"/>
      <c r="E715" s="1393" t="s">
        <v>935</v>
      </c>
      <c r="F715" s="1294"/>
      <c r="G715" s="1294"/>
      <c r="H715" s="1294"/>
      <c r="I715" s="1294"/>
      <c r="J715" s="1294"/>
      <c r="K715" s="1294"/>
      <c r="L715" s="1294"/>
      <c r="M715" s="1294"/>
      <c r="N715" s="1294"/>
      <c r="O715" s="1294"/>
      <c r="P715" s="1294"/>
      <c r="Q715" s="1294"/>
      <c r="R715" s="1294"/>
      <c r="S715" s="1294"/>
      <c r="T715" s="1294"/>
      <c r="U715" s="1294"/>
      <c r="V715" s="1294"/>
      <c r="W715" s="1294"/>
      <c r="X715" s="1294"/>
      <c r="Y715" s="1294"/>
      <c r="Z715" s="1294"/>
      <c r="AA715" s="1294"/>
      <c r="AB715" s="1294"/>
      <c r="AC715" s="1294"/>
      <c r="AD715" s="1294"/>
      <c r="AE715" s="1294"/>
      <c r="AF715" s="1294"/>
      <c r="AG715" s="1294"/>
      <c r="AH715" s="1294"/>
      <c r="AI715" s="1294"/>
      <c r="AJ715" s="1294"/>
      <c r="AK715" s="1294"/>
      <c r="AZ715" t="s">
        <v>959</v>
      </c>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 customHeight="1">
      <c r="A717" s="1408" t="s">
        <v>1532</v>
      </c>
      <c r="B717" s="1298"/>
      <c r="C717" s="1298"/>
      <c r="D717" s="1298"/>
      <c r="E717" s="1298"/>
      <c r="F717" s="1298"/>
      <c r="G717" s="1298"/>
      <c r="H717" s="1298"/>
      <c r="I717" s="1298"/>
      <c r="J717" s="1298"/>
      <c r="K717" s="1298"/>
      <c r="L717" s="1298"/>
      <c r="M717" s="1298"/>
      <c r="N717" s="1298"/>
      <c r="O717" s="1298"/>
      <c r="P717" s="1298"/>
      <c r="Q717" s="1298"/>
      <c r="R717" s="1298"/>
      <c r="S717" s="1298"/>
      <c r="T717" s="1298"/>
      <c r="U717" s="1298"/>
      <c r="V717" s="1298"/>
      <c r="W717" s="1298"/>
      <c r="X717" s="1298"/>
      <c r="Y717" s="1298"/>
      <c r="Z717" s="1298"/>
      <c r="AA717" s="1298"/>
      <c r="AB717" s="1298"/>
      <c r="AC717" s="1298"/>
      <c r="AD717" s="1298"/>
      <c r="AE717" s="1298"/>
      <c r="AF717" s="1298"/>
      <c r="AG717" s="1298"/>
      <c r="AH717" s="1298"/>
      <c r="AI717" s="1298"/>
      <c r="AJ717" s="1298"/>
      <c r="AK717" s="1298"/>
      <c r="AL717" s="1298"/>
      <c r="AM717" s="1298"/>
      <c r="AN717" s="1298"/>
      <c r="AO717" s="1298"/>
      <c r="AP717" s="1298"/>
      <c r="AQ717" s="1298"/>
      <c r="AR717" s="1298"/>
      <c r="AS717" s="1298"/>
      <c r="AT717" s="1298"/>
      <c r="AZ717" s="4" t="s">
        <v>954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 customHeight="1">
      <c r="A718" s="1298"/>
      <c r="B718" s="1298"/>
      <c r="C718" s="1298"/>
      <c r="D718" s="1298"/>
      <c r="E718" s="1298"/>
      <c r="F718" s="1298"/>
      <c r="G718" s="1298"/>
      <c r="H718" s="1298"/>
      <c r="I718" s="1298"/>
      <c r="J718" s="1298"/>
      <c r="K718" s="1298"/>
      <c r="L718" s="1298"/>
      <c r="M718" s="1298"/>
      <c r="N718" s="1298"/>
      <c r="O718" s="1298"/>
      <c r="P718" s="1298"/>
      <c r="Q718" s="1298"/>
      <c r="R718" s="1298"/>
      <c r="S718" s="1298"/>
      <c r="T718" s="1298"/>
      <c r="U718" s="1298"/>
      <c r="V718" s="1298"/>
      <c r="W718" s="1298"/>
      <c r="X718" s="1298"/>
      <c r="Y718" s="1298"/>
      <c r="Z718" s="1298"/>
      <c r="AA718" s="1298"/>
      <c r="AB718" s="1298"/>
      <c r="AC718" s="1298"/>
      <c r="AD718" s="1298"/>
      <c r="AE718" s="1298"/>
      <c r="AF718" s="1298"/>
      <c r="AG718" s="1298"/>
      <c r="AH718" s="1298"/>
      <c r="AI718" s="1298"/>
      <c r="AJ718" s="1298"/>
      <c r="AK718" s="1298"/>
      <c r="AL718" s="1298"/>
      <c r="AM718" s="1298"/>
      <c r="AN718" s="1298"/>
      <c r="AO718" s="1298"/>
      <c r="AP718" s="1298"/>
      <c r="AQ718" s="1298"/>
      <c r="AR718" s="1298"/>
      <c r="AS718" s="1298"/>
      <c r="AT718" s="1298"/>
      <c r="AZ718" s="4" t="s">
        <v>955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 customHeight="1">
      <c r="A719" s="1298"/>
      <c r="B719" s="1298"/>
      <c r="C719" s="1298"/>
      <c r="D719" s="1298"/>
      <c r="E719" s="1298"/>
      <c r="F719" s="1298"/>
      <c r="G719" s="1298"/>
      <c r="H719" s="1298"/>
      <c r="I719" s="1298"/>
      <c r="J719" s="1298"/>
      <c r="K719" s="1298"/>
      <c r="L719" s="1298"/>
      <c r="M719" s="1298"/>
      <c r="N719" s="1298"/>
      <c r="O719" s="1298"/>
      <c r="P719" s="1298"/>
      <c r="Q719" s="1298"/>
      <c r="R719" s="1298"/>
      <c r="S719" s="1298"/>
      <c r="T719" s="1298"/>
      <c r="U719" s="1298"/>
      <c r="V719" s="1298"/>
      <c r="W719" s="1298"/>
      <c r="X719" s="1298"/>
      <c r="Y719" s="1298"/>
      <c r="Z719" s="1298"/>
      <c r="AA719" s="1298"/>
      <c r="AB719" s="1298"/>
      <c r="AC719" s="1298"/>
      <c r="AD719" s="1298"/>
      <c r="AE719" s="1298"/>
      <c r="AF719" s="1298"/>
      <c r="AG719" s="1298"/>
      <c r="AH719" s="1298"/>
      <c r="AI719" s="1298"/>
      <c r="AJ719" s="1298"/>
      <c r="AK719" s="1298"/>
      <c r="AL719" s="1298"/>
      <c r="AM719" s="1298"/>
      <c r="AN719" s="1298"/>
      <c r="AO719" s="1298"/>
      <c r="AP719" s="1298"/>
      <c r="AQ719" s="1298"/>
      <c r="AR719" s="1298"/>
      <c r="AS719" s="1298"/>
      <c r="AT719" s="1298"/>
      <c r="AZ719" s="4" t="s">
        <v>956</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 customHeight="1">
      <c r="A720" s="2" t="s">
        <v>994</v>
      </c>
      <c r="B720" s="2"/>
      <c r="C720" s="2" t="s">
        <v>1533</v>
      </c>
      <c r="AZ720" s="4" t="s">
        <v>957</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 customHeight="1">
      <c r="A721" s="2"/>
      <c r="B721" s="512"/>
      <c r="C721" s="2"/>
      <c r="AZ721" s="4" t="s">
        <v>958</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 customHeight="1">
      <c r="B722" s="1444" t="s">
        <v>1534</v>
      </c>
      <c r="C722" s="1417"/>
      <c r="D722" s="1417"/>
      <c r="E722" s="1417"/>
      <c r="F722" s="1423"/>
      <c r="G722" s="1444" t="s">
        <v>1535</v>
      </c>
      <c r="H722" s="1417"/>
      <c r="I722" s="1417"/>
      <c r="J722" s="1423"/>
      <c r="K722" s="1646" t="s">
        <v>1536</v>
      </c>
      <c r="L722" s="1417"/>
      <c r="M722" s="1417"/>
      <c r="N722" s="1423"/>
      <c r="O722" s="1444" t="s">
        <v>1537</v>
      </c>
      <c r="P722" s="1417"/>
      <c r="Q722" s="1417"/>
      <c r="R722" s="1417"/>
      <c r="S722" s="1423"/>
      <c r="T722" s="1491" t="s">
        <v>1538</v>
      </c>
      <c r="U722" s="1417"/>
      <c r="V722" s="1417"/>
      <c r="W722" s="1423"/>
      <c r="X722" s="1491" t="s">
        <v>1539</v>
      </c>
      <c r="Y722" s="1417"/>
      <c r="Z722" s="1417"/>
      <c r="AA722" s="1417"/>
      <c r="AB722" s="1423"/>
      <c r="AC722" s="1491" t="s">
        <v>1540</v>
      </c>
      <c r="AD722" s="1417"/>
      <c r="AE722" s="1417"/>
      <c r="AF722" s="1417"/>
      <c r="AG722" s="1423"/>
      <c r="AH722" s="1491" t="s">
        <v>1541</v>
      </c>
      <c r="AI722" s="1417"/>
      <c r="AJ722" s="1423"/>
      <c r="AK722" s="1491" t="s">
        <v>1542</v>
      </c>
      <c r="AL722" s="1417"/>
      <c r="AM722" s="1417"/>
      <c r="AN722" s="1417"/>
      <c r="AO722" s="1423"/>
      <c r="AP722" s="3"/>
      <c r="AQ722" s="3"/>
      <c r="AR722" s="3"/>
      <c r="AS722" s="3"/>
      <c r="AZ722" s="4" t="s">
        <v>959</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 customHeight="1">
      <c r="B723" s="1403"/>
      <c r="C723" s="1298"/>
      <c r="D723" s="1298"/>
      <c r="E723" s="1298"/>
      <c r="F723" s="1383"/>
      <c r="G723" s="1403"/>
      <c r="H723" s="1298"/>
      <c r="I723" s="1298"/>
      <c r="J723" s="1383"/>
      <c r="K723" s="1403"/>
      <c r="L723" s="1298"/>
      <c r="M723" s="1298"/>
      <c r="N723" s="1383"/>
      <c r="O723" s="1403"/>
      <c r="P723" s="1298"/>
      <c r="Q723" s="1298"/>
      <c r="R723" s="1298"/>
      <c r="S723" s="1383"/>
      <c r="T723" s="1403"/>
      <c r="U723" s="1298"/>
      <c r="V723" s="1298"/>
      <c r="W723" s="1383"/>
      <c r="X723" s="1403"/>
      <c r="Y723" s="1298"/>
      <c r="Z723" s="1298"/>
      <c r="AA723" s="1298"/>
      <c r="AB723" s="1383"/>
      <c r="AC723" s="1403"/>
      <c r="AD723" s="1298"/>
      <c r="AE723" s="1298"/>
      <c r="AF723" s="1298"/>
      <c r="AG723" s="1383"/>
      <c r="AH723" s="1403"/>
      <c r="AI723" s="1298"/>
      <c r="AJ723" s="1383"/>
      <c r="AK723" s="1403"/>
      <c r="AL723" s="1298"/>
      <c r="AM723" s="1298"/>
      <c r="AN723" s="1298"/>
      <c r="AO723" s="138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 customHeight="1">
      <c r="A724" s="4"/>
      <c r="B724" s="1403"/>
      <c r="C724" s="1298"/>
      <c r="D724" s="1298"/>
      <c r="E724" s="1298"/>
      <c r="F724" s="1383"/>
      <c r="G724" s="1403"/>
      <c r="H724" s="1298"/>
      <c r="I724" s="1298"/>
      <c r="J724" s="1383"/>
      <c r="K724" s="1403"/>
      <c r="L724" s="1298"/>
      <c r="M724" s="1298"/>
      <c r="N724" s="1383"/>
      <c r="O724" s="1403"/>
      <c r="P724" s="1298"/>
      <c r="Q724" s="1298"/>
      <c r="R724" s="1298"/>
      <c r="S724" s="1383"/>
      <c r="T724" s="1403"/>
      <c r="U724" s="1298"/>
      <c r="V724" s="1298"/>
      <c r="W724" s="1383"/>
      <c r="X724" s="1403"/>
      <c r="Y724" s="1298"/>
      <c r="Z724" s="1298"/>
      <c r="AA724" s="1298"/>
      <c r="AB724" s="1383"/>
      <c r="AC724" s="1403"/>
      <c r="AD724" s="1298"/>
      <c r="AE724" s="1298"/>
      <c r="AF724" s="1298"/>
      <c r="AG724" s="1383"/>
      <c r="AH724" s="1403"/>
      <c r="AI724" s="1298"/>
      <c r="AJ724" s="1383"/>
      <c r="AK724" s="1403"/>
      <c r="AL724" s="1298"/>
      <c r="AM724" s="1298"/>
      <c r="AN724" s="1298"/>
      <c r="AO724" s="1383"/>
      <c r="AP724" s="3"/>
      <c r="AQ724" s="3"/>
      <c r="AR724" s="3"/>
      <c r="AS724" s="3"/>
      <c r="BA724" s="3"/>
      <c r="BB724" s="3"/>
      <c r="BC724" s="3"/>
      <c r="BD724" s="3"/>
      <c r="BE724" s="204"/>
      <c r="BF724" s="205" t="s">
        <v>1543</v>
      </c>
      <c r="BG724" s="204"/>
      <c r="BH724" s="204"/>
      <c r="BI724" s="3"/>
      <c r="BJ724" s="3"/>
      <c r="BK724" s="3"/>
      <c r="BL724" s="3"/>
      <c r="BM724" s="3"/>
      <c r="BN724" s="3"/>
      <c r="BS724" s="205" t="s">
        <v>1544</v>
      </c>
      <c r="BT724" s="204"/>
      <c r="BU724" s="204"/>
      <c r="CC724" s="3"/>
      <c r="CD724" s="3"/>
      <c r="CE724" s="3"/>
      <c r="CF724" s="3"/>
      <c r="CG724" s="3"/>
      <c r="CH724" s="3"/>
      <c r="CI724" s="3"/>
      <c r="CJ724" s="3"/>
      <c r="CK724" s="3"/>
      <c r="CL724" s="3"/>
      <c r="CM724" s="3"/>
      <c r="CN724" s="3"/>
      <c r="CO724" s="3"/>
      <c r="CP724" s="3" t="s">
        <v>1545</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1546</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1547</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 customHeight="1">
      <c r="A725" s="4"/>
      <c r="B725" s="1404"/>
      <c r="C725" s="1405"/>
      <c r="D725" s="1405"/>
      <c r="E725" s="1405"/>
      <c r="F725" s="1296"/>
      <c r="G725" s="1404"/>
      <c r="H725" s="1405"/>
      <c r="I725" s="1405"/>
      <c r="J725" s="1296"/>
      <c r="K725" s="1403"/>
      <c r="L725" s="1298"/>
      <c r="M725" s="1298"/>
      <c r="N725" s="1383"/>
      <c r="O725" s="1404"/>
      <c r="P725" s="1405"/>
      <c r="Q725" s="1405"/>
      <c r="R725" s="1405"/>
      <c r="S725" s="1296"/>
      <c r="T725" s="1404"/>
      <c r="U725" s="1405"/>
      <c r="V725" s="1405"/>
      <c r="W725" s="1296"/>
      <c r="X725" s="1404"/>
      <c r="Y725" s="1405"/>
      <c r="Z725" s="1405"/>
      <c r="AA725" s="1405"/>
      <c r="AB725" s="1296"/>
      <c r="AC725" s="1404"/>
      <c r="AD725" s="1405"/>
      <c r="AE725" s="1405"/>
      <c r="AF725" s="1405"/>
      <c r="AG725" s="1296"/>
      <c r="AH725" s="1404"/>
      <c r="AI725" s="1405"/>
      <c r="AJ725" s="1296"/>
      <c r="AK725" s="1404"/>
      <c r="AL725" s="1405"/>
      <c r="AM725" s="1405"/>
      <c r="AN725" s="1405"/>
      <c r="AO725" s="1296"/>
      <c r="AP725" s="3"/>
      <c r="AQ725" s="3"/>
      <c r="AR725" s="3"/>
      <c r="AS725" s="3"/>
      <c r="AZ725" s="166" t="s">
        <v>1548</v>
      </c>
      <c r="BA725" s="3"/>
      <c r="BB725" s="3"/>
      <c r="BC725" s="3"/>
      <c r="BD725" s="3"/>
      <c r="BE725" s="204"/>
      <c r="BF725" s="291" t="s">
        <v>1549</v>
      </c>
      <c r="BG725" s="296" t="s">
        <v>1550</v>
      </c>
      <c r="BH725" s="295" t="s">
        <v>1551</v>
      </c>
      <c r="BI725" s="3"/>
      <c r="BJ725" s="3"/>
      <c r="BK725" s="3"/>
      <c r="BL725" s="3"/>
      <c r="BM725" s="3"/>
      <c r="BN725" s="3"/>
      <c r="BS725" s="291" t="s">
        <v>1549</v>
      </c>
      <c r="BT725" s="296" t="s">
        <v>1550</v>
      </c>
      <c r="BU725" s="295" t="s">
        <v>1551</v>
      </c>
      <c r="CC725" s="3"/>
      <c r="CD725" s="3"/>
      <c r="CE725" s="3"/>
      <c r="CF725" s="3"/>
      <c r="CG725" s="121" t="s">
        <v>1552</v>
      </c>
      <c r="CH725" s="122"/>
      <c r="CI725" s="1381"/>
      <c r="CJ725" s="1264"/>
      <c r="CK725" s="121" t="s">
        <v>1553</v>
      </c>
      <c r="CL725" s="122"/>
      <c r="CM725" s="1381"/>
      <c r="CN725" s="1264"/>
      <c r="CO725" s="3"/>
      <c r="CP725" s="1413" t="s">
        <v>960</v>
      </c>
      <c r="CQ725" s="1263"/>
      <c r="CR725" s="1263"/>
      <c r="CS725" s="1263"/>
      <c r="CT725" s="1264"/>
      <c r="CU725" s="1413" t="s">
        <v>955</v>
      </c>
      <c r="CV725" s="1263"/>
      <c r="CW725" s="1263"/>
      <c r="CX725" s="1263"/>
      <c r="CY725" s="1264"/>
      <c r="CZ725" s="1413" t="s">
        <v>956</v>
      </c>
      <c r="DA725" s="1263"/>
      <c r="DB725" s="1263"/>
      <c r="DC725" s="1263"/>
      <c r="DD725" s="1264"/>
      <c r="DE725" s="1413" t="s">
        <v>957</v>
      </c>
      <c r="DF725" s="1263"/>
      <c r="DG725" s="1263"/>
      <c r="DH725" s="1263"/>
      <c r="DI725" s="1264"/>
      <c r="DJ725" s="1413" t="s">
        <v>961</v>
      </c>
      <c r="DK725" s="1263"/>
      <c r="DL725" s="1263"/>
      <c r="DM725" s="1263"/>
      <c r="DN725" s="1264"/>
      <c r="DO725" s="1413" t="s">
        <v>959</v>
      </c>
      <c r="DP725" s="1263"/>
      <c r="DQ725" s="1263"/>
      <c r="DR725" s="1263"/>
      <c r="DS725" s="1264"/>
      <c r="DT725" s="89"/>
      <c r="DU725" s="1413" t="s">
        <v>960</v>
      </c>
      <c r="DV725" s="1263"/>
      <c r="DW725" s="1263"/>
      <c r="DX725" s="1263"/>
      <c r="DY725" s="1264"/>
      <c r="DZ725" s="1413" t="s">
        <v>955</v>
      </c>
      <c r="EA725" s="1263"/>
      <c r="EB725" s="1263"/>
      <c r="EC725" s="1263"/>
      <c r="ED725" s="1264"/>
      <c r="EE725" s="1413" t="s">
        <v>956</v>
      </c>
      <c r="EF725" s="1263"/>
      <c r="EG725" s="1263"/>
      <c r="EH725" s="1263"/>
      <c r="EI725" s="1264"/>
      <c r="EJ725" s="1413" t="s">
        <v>957</v>
      </c>
      <c r="EK725" s="1263"/>
      <c r="EL725" s="1263"/>
      <c r="EM725" s="1263"/>
      <c r="EN725" s="1264"/>
      <c r="EO725" s="1413" t="s">
        <v>961</v>
      </c>
      <c r="EP725" s="1263"/>
      <c r="EQ725" s="1263"/>
      <c r="ER725" s="1263"/>
      <c r="ES725" s="1264"/>
      <c r="ET725" s="1413" t="s">
        <v>959</v>
      </c>
      <c r="EU725" s="1263"/>
      <c r="EV725" s="1263"/>
      <c r="EW725" s="1263"/>
      <c r="EX725" s="1264"/>
      <c r="EY725" s="4"/>
      <c r="EZ725" s="1413" t="s">
        <v>960</v>
      </c>
      <c r="FA725" s="1263"/>
      <c r="FB725" s="1263"/>
      <c r="FC725" s="1263"/>
      <c r="FD725" s="1264"/>
      <c r="FE725" s="1413" t="s">
        <v>955</v>
      </c>
      <c r="FF725" s="1263"/>
      <c r="FG725" s="1263"/>
      <c r="FH725" s="1263"/>
      <c r="FI725" s="1264"/>
      <c r="FJ725" s="1413" t="s">
        <v>956</v>
      </c>
      <c r="FK725" s="1263"/>
      <c r="FL725" s="1263"/>
      <c r="FM725" s="1263"/>
      <c r="FN725" s="1264"/>
      <c r="FO725" s="1413" t="s">
        <v>957</v>
      </c>
      <c r="FP725" s="1263"/>
      <c r="FQ725" s="1263"/>
      <c r="FR725" s="1263"/>
      <c r="FS725" s="1264"/>
      <c r="FT725" s="1413" t="s">
        <v>961</v>
      </c>
      <c r="FU725" s="1263"/>
      <c r="FV725" s="1263"/>
      <c r="FW725" s="1263"/>
      <c r="FX725" s="1264"/>
      <c r="FY725" s="1413" t="s">
        <v>959</v>
      </c>
      <c r="FZ725" s="1263"/>
      <c r="GA725" s="1263"/>
      <c r="GB725" s="1263"/>
      <c r="GC725" s="1264"/>
    </row>
    <row r="726" spans="1:185" ht="12.9" customHeight="1">
      <c r="A726" s="4"/>
      <c r="B726" s="1392" t="s">
        <v>955</v>
      </c>
      <c r="C726" s="1374"/>
      <c r="D726" s="1374"/>
      <c r="E726" s="1374"/>
      <c r="F726" s="1375"/>
      <c r="G726" s="1420">
        <v>1</v>
      </c>
      <c r="H726" s="1374"/>
      <c r="I726" s="1374"/>
      <c r="J726" s="1375"/>
      <c r="K726" s="1406"/>
      <c r="L726" s="1374"/>
      <c r="M726" s="1374"/>
      <c r="N726" s="1375"/>
      <c r="O726" s="1376">
        <v>804</v>
      </c>
      <c r="P726" s="1374"/>
      <c r="Q726" s="1374"/>
      <c r="R726" s="1374"/>
      <c r="S726" s="1375"/>
      <c r="T726" s="1376">
        <v>48</v>
      </c>
      <c r="U726" s="1374"/>
      <c r="V726" s="1374"/>
      <c r="W726" s="1375"/>
      <c r="X726" s="1424">
        <f t="shared" ref="X726:X760" si="9">O726+T726</f>
        <v>852</v>
      </c>
      <c r="Y726" s="1263"/>
      <c r="Z726" s="1263"/>
      <c r="AA726" s="1263"/>
      <c r="AB726" s="1264"/>
      <c r="AC726" s="1398">
        <v>0.3</v>
      </c>
      <c r="AD726" s="1374"/>
      <c r="AE726" s="1374"/>
      <c r="AF726" s="1374"/>
      <c r="AG726" s="1375"/>
      <c r="AH726" s="1441">
        <f t="shared" ref="AH726:AH760" si="10">IF($AC726&gt;0,($X726/$AZ726), "")</f>
        <v>0.3</v>
      </c>
      <c r="AI726" s="1417"/>
      <c r="AJ726" s="1423"/>
      <c r="AK726" s="1392" t="s">
        <v>935</v>
      </c>
      <c r="AL726" s="1374"/>
      <c r="AM726" s="1374"/>
      <c r="AN726" s="1374"/>
      <c r="AO726" s="1375"/>
      <c r="AP726" s="3"/>
      <c r="AQ726" s="3"/>
      <c r="AR726" s="3"/>
      <c r="AS726" s="3"/>
      <c r="AZ726" s="118">
        <f t="shared" ref="AZ726:AZ760" si="11">IF($G726=0,"N/A",VLOOKUP($T$189,TC_Rent,(MATCH($B726,bedrooms,FALSE)),FALSE))</f>
        <v>2840</v>
      </c>
      <c r="BA726" s="3"/>
      <c r="BB726" s="3"/>
      <c r="BC726" s="3"/>
      <c r="BD726" s="3"/>
      <c r="BE726" s="204"/>
      <c r="BF726" s="293">
        <f t="shared" ref="BF726:BF760" si="12">G726</f>
        <v>1</v>
      </c>
      <c r="BG726" s="297">
        <f t="shared" ref="BG726:BG760" si="13">IF($BF$761=0,0,BF726/$BF$761)</f>
        <v>1.5625E-2</v>
      </c>
      <c r="BH726" s="298">
        <f t="shared" ref="BH726:BH760" si="14">IF(BG726=0,"",BG726*AC726)</f>
        <v>4.6874999999999998E-3</v>
      </c>
      <c r="BI726" s="3"/>
      <c r="BJ726" s="3"/>
      <c r="BK726" s="3"/>
      <c r="BL726" s="3"/>
      <c r="BM726" s="3"/>
      <c r="BN726" s="3"/>
      <c r="BS726" s="293">
        <f t="shared" ref="BS726:BS760" si="15">G726</f>
        <v>1</v>
      </c>
      <c r="BT726" s="297">
        <f t="shared" ref="BT726:BT760" si="16">IF($BS$761=0,0,BS726/$BS$761)</f>
        <v>1.5625E-2</v>
      </c>
      <c r="BU726" s="298">
        <f t="shared" ref="BU726:BU760" si="17">IF(BT726=0,"",BT726*AH726)</f>
        <v>4.6874999999999998E-3</v>
      </c>
      <c r="CC726" s="3"/>
      <c r="CD726" s="3"/>
      <c r="CE726" s="3"/>
      <c r="CF726" s="3"/>
      <c r="CG726" s="1414">
        <f t="shared" ref="CG726:CG760" si="18">IF(AND(AC726&lt;=0.5,AC726&gt;=0.36),1,0)</f>
        <v>0</v>
      </c>
      <c r="CH726" s="1264"/>
      <c r="CI726" s="1381">
        <f t="shared" ref="CI726:CI760" si="19">IF(CG726=1,G726,0)</f>
        <v>0</v>
      </c>
      <c r="CJ726" s="1264"/>
      <c r="CK726" s="1414">
        <f t="shared" ref="CK726:CK760" si="20">IF(AND(AC726&lt;=0.35,AC726&gt;0),1,0)</f>
        <v>1</v>
      </c>
      <c r="CL726" s="1264"/>
      <c r="CM726" s="1381">
        <f t="shared" ref="CM726:CM760" si="21">IF(CK726=1,G726,0)</f>
        <v>1</v>
      </c>
      <c r="CN726" s="1264"/>
      <c r="CO726" s="3"/>
      <c r="CP726" s="1379">
        <f t="shared" ref="CP726:CP760" si="22">IF(B726="SRO/Studio",G726,0)</f>
        <v>0</v>
      </c>
      <c r="CQ726" s="1263"/>
      <c r="CR726" s="1263"/>
      <c r="CS726" s="1263"/>
      <c r="CT726" s="1264"/>
      <c r="CU726" s="1379">
        <f t="shared" ref="CU726:CU760" si="23">IF(B726="1 Bedroom",G726,0)</f>
        <v>1</v>
      </c>
      <c r="CV726" s="1263"/>
      <c r="CW726" s="1263"/>
      <c r="CX726" s="1263"/>
      <c r="CY726" s="1264"/>
      <c r="CZ726" s="1379">
        <f t="shared" ref="CZ726:CZ760" si="24">IF(B726="2 Bedrooms",G726,0)</f>
        <v>0</v>
      </c>
      <c r="DA726" s="1263"/>
      <c r="DB726" s="1263"/>
      <c r="DC726" s="1263"/>
      <c r="DD726" s="1264"/>
      <c r="DE726" s="1379">
        <f t="shared" ref="DE726:DE760" si="25">IF(B726="3 Bedrooms",G726,0)</f>
        <v>0</v>
      </c>
      <c r="DF726" s="1263"/>
      <c r="DG726" s="1263"/>
      <c r="DH726" s="1263"/>
      <c r="DI726" s="1264"/>
      <c r="DJ726" s="1379">
        <f t="shared" ref="DJ726:DJ760" si="26">IF(B726="4 Bedrooms",G726,0)</f>
        <v>0</v>
      </c>
      <c r="DK726" s="1263"/>
      <c r="DL726" s="1263"/>
      <c r="DM726" s="1263"/>
      <c r="DN726" s="1264"/>
      <c r="DO726" s="1379">
        <f t="shared" ref="DO726:DO760" si="27">IF(B726="5 Bedrooms",G726,0)</f>
        <v>0</v>
      </c>
      <c r="DP726" s="1263"/>
      <c r="DQ726" s="1263"/>
      <c r="DR726" s="1263"/>
      <c r="DS726" s="1264"/>
      <c r="DT726" s="6"/>
      <c r="DU726" s="1377">
        <f t="shared" ref="DU726:DU760" si="28">IF(AND(B726="SRO/Studio",AC726&lt;=0.3),G726,0)</f>
        <v>0</v>
      </c>
      <c r="DV726" s="1263"/>
      <c r="DW726" s="1263"/>
      <c r="DX726" s="1263"/>
      <c r="DY726" s="1264"/>
      <c r="DZ726" s="1377">
        <f t="shared" ref="DZ726:DZ760" si="29">IF(AND(B726="1 Bedroom",AC726&lt;=0.3),G726,0)</f>
        <v>1</v>
      </c>
      <c r="EA726" s="1263"/>
      <c r="EB726" s="1263"/>
      <c r="EC726" s="1263"/>
      <c r="ED726" s="1264"/>
      <c r="EE726" s="1377">
        <f t="shared" ref="EE726:EE760" si="30">IF(AND(B726="2 Bedrooms",AC726&lt;=0.3),G726,0)</f>
        <v>0</v>
      </c>
      <c r="EF726" s="1263"/>
      <c r="EG726" s="1263"/>
      <c r="EH726" s="1263"/>
      <c r="EI726" s="1264"/>
      <c r="EJ726" s="1377">
        <f t="shared" ref="EJ726:EJ760" si="31">IF(AND(B726="3 Bedrooms",AC726&lt;=0.3),G726,0)</f>
        <v>0</v>
      </c>
      <c r="EK726" s="1263"/>
      <c r="EL726" s="1263"/>
      <c r="EM726" s="1263"/>
      <c r="EN726" s="1264"/>
      <c r="EO726" s="1377">
        <f t="shared" ref="EO726:EO760" si="32">IF(AND(B726="4 Bedrooms",AC726&lt;=0.3),G726,0)</f>
        <v>0</v>
      </c>
      <c r="EP726" s="1263"/>
      <c r="EQ726" s="1263"/>
      <c r="ER726" s="1263"/>
      <c r="ES726" s="1264"/>
      <c r="ET726" s="1377">
        <f t="shared" ref="ET726:ET760" si="33">IF(AND(B726="5 Bedrooms",AC726&lt;=0.3),G726,0)</f>
        <v>0</v>
      </c>
      <c r="EU726" s="1263"/>
      <c r="EV726" s="1263"/>
      <c r="EW726" s="1263"/>
      <c r="EX726" s="1264"/>
      <c r="EY726" s="4"/>
      <c r="EZ726" s="1414" t="str">
        <f t="shared" ref="EZ726:EZ760" si="34">IF(CP726&gt;0,O726,"")</f>
        <v/>
      </c>
      <c r="FA726" s="1263"/>
      <c r="FB726" s="1263"/>
      <c r="FC726" s="1263"/>
      <c r="FD726" s="1264"/>
      <c r="FE726" s="1414">
        <f t="shared" ref="FE726:FE760" si="35">IF(CU726&gt;0,O726,"")</f>
        <v>804</v>
      </c>
      <c r="FF726" s="1263"/>
      <c r="FG726" s="1263"/>
      <c r="FH726" s="1263"/>
      <c r="FI726" s="1264"/>
      <c r="FJ726" s="1414" t="str">
        <f t="shared" ref="FJ726:FJ760" si="36">IF(CZ726&gt;0,O726,"")</f>
        <v/>
      </c>
      <c r="FK726" s="1263"/>
      <c r="FL726" s="1263"/>
      <c r="FM726" s="1263"/>
      <c r="FN726" s="1264"/>
      <c r="FO726" s="1414" t="str">
        <f t="shared" ref="FO726:FO760" si="37">IF(DE726&gt;0,O726,"")</f>
        <v/>
      </c>
      <c r="FP726" s="1263"/>
      <c r="FQ726" s="1263"/>
      <c r="FR726" s="1263"/>
      <c r="FS726" s="1264"/>
      <c r="FT726" s="1414" t="str">
        <f t="shared" ref="FT726:FT760" si="38">IF(DJ726&gt;0,O726,"")</f>
        <v/>
      </c>
      <c r="FU726" s="1263"/>
      <c r="FV726" s="1263"/>
      <c r="FW726" s="1263"/>
      <c r="FX726" s="1264"/>
      <c r="FY726" s="1414" t="str">
        <f t="shared" ref="FY726:FY760" si="39">IF(DO726&gt;0,O726,"")</f>
        <v/>
      </c>
      <c r="FZ726" s="1263"/>
      <c r="GA726" s="1263"/>
      <c r="GB726" s="1263"/>
      <c r="GC726" s="1264"/>
    </row>
    <row r="727" spans="1:185" ht="12.9" customHeight="1">
      <c r="A727" s="4"/>
      <c r="B727" s="1392" t="s">
        <v>955</v>
      </c>
      <c r="C727" s="1374"/>
      <c r="D727" s="1374"/>
      <c r="E727" s="1374"/>
      <c r="F727" s="1375"/>
      <c r="G727" s="1420">
        <v>1</v>
      </c>
      <c r="H727" s="1374"/>
      <c r="I727" s="1374"/>
      <c r="J727" s="1375"/>
      <c r="K727" s="1406"/>
      <c r="L727" s="1374"/>
      <c r="M727" s="1374"/>
      <c r="N727" s="1375"/>
      <c r="O727" s="1376">
        <v>1230</v>
      </c>
      <c r="P727" s="1374"/>
      <c r="Q727" s="1374"/>
      <c r="R727" s="1374"/>
      <c r="S727" s="1375"/>
      <c r="T727" s="1376">
        <v>48</v>
      </c>
      <c r="U727" s="1374"/>
      <c r="V727" s="1374"/>
      <c r="W727" s="1375"/>
      <c r="X727" s="1424">
        <f t="shared" si="9"/>
        <v>1278</v>
      </c>
      <c r="Y727" s="1263"/>
      <c r="Z727" s="1263"/>
      <c r="AA727" s="1263"/>
      <c r="AB727" s="1264"/>
      <c r="AC727" s="1398">
        <v>0.45</v>
      </c>
      <c r="AD727" s="1374"/>
      <c r="AE727" s="1374"/>
      <c r="AF727" s="1374"/>
      <c r="AG727" s="1375"/>
      <c r="AH727" s="1441">
        <f t="shared" si="10"/>
        <v>0.45</v>
      </c>
      <c r="AI727" s="1417"/>
      <c r="AJ727" s="1423"/>
      <c r="AK727" s="1392" t="s">
        <v>935</v>
      </c>
      <c r="AL727" s="1374"/>
      <c r="AM727" s="1374"/>
      <c r="AN727" s="1374"/>
      <c r="AO727" s="1375"/>
      <c r="AP727" s="3"/>
      <c r="AQ727" s="3"/>
      <c r="AR727" s="3"/>
      <c r="AS727" s="3"/>
      <c r="AZ727" s="118">
        <f t="shared" si="11"/>
        <v>2840</v>
      </c>
      <c r="BA727" s="3"/>
      <c r="BB727" s="3"/>
      <c r="BC727" s="3"/>
      <c r="BD727" s="3"/>
      <c r="BE727" s="204"/>
      <c r="BF727" s="294">
        <f t="shared" si="12"/>
        <v>1</v>
      </c>
      <c r="BG727" s="297">
        <f t="shared" si="13"/>
        <v>1.5625E-2</v>
      </c>
      <c r="BH727" s="298">
        <f t="shared" si="14"/>
        <v>7.0312500000000002E-3</v>
      </c>
      <c r="BI727" s="3"/>
      <c r="BJ727" s="3"/>
      <c r="BK727" s="3"/>
      <c r="BL727" s="3"/>
      <c r="BM727" s="3"/>
      <c r="BN727" s="3"/>
      <c r="BS727" s="294">
        <f t="shared" si="15"/>
        <v>1</v>
      </c>
      <c r="BT727" s="297">
        <f t="shared" si="16"/>
        <v>1.5625E-2</v>
      </c>
      <c r="BU727" s="298">
        <f t="shared" si="17"/>
        <v>7.0312500000000002E-3</v>
      </c>
      <c r="CC727" s="3"/>
      <c r="CD727" s="3"/>
      <c r="CE727" s="3"/>
      <c r="CF727" s="3"/>
      <c r="CG727" s="1414">
        <f t="shared" si="18"/>
        <v>1</v>
      </c>
      <c r="CH727" s="1264"/>
      <c r="CI727" s="1381">
        <f t="shared" si="19"/>
        <v>1</v>
      </c>
      <c r="CJ727" s="1264"/>
      <c r="CK727" s="1414">
        <f t="shared" si="20"/>
        <v>0</v>
      </c>
      <c r="CL727" s="1264"/>
      <c r="CM727" s="1381">
        <f t="shared" si="21"/>
        <v>0</v>
      </c>
      <c r="CN727" s="1264"/>
      <c r="CO727" s="3"/>
      <c r="CP727" s="1379">
        <f t="shared" si="22"/>
        <v>0</v>
      </c>
      <c r="CQ727" s="1263"/>
      <c r="CR727" s="1263"/>
      <c r="CS727" s="1263"/>
      <c r="CT727" s="1264"/>
      <c r="CU727" s="1379">
        <f t="shared" si="23"/>
        <v>1</v>
      </c>
      <c r="CV727" s="1263"/>
      <c r="CW727" s="1263"/>
      <c r="CX727" s="1263"/>
      <c r="CY727" s="1264"/>
      <c r="CZ727" s="1379">
        <f t="shared" si="24"/>
        <v>0</v>
      </c>
      <c r="DA727" s="1263"/>
      <c r="DB727" s="1263"/>
      <c r="DC727" s="1263"/>
      <c r="DD727" s="1264"/>
      <c r="DE727" s="1379">
        <f t="shared" si="25"/>
        <v>0</v>
      </c>
      <c r="DF727" s="1263"/>
      <c r="DG727" s="1263"/>
      <c r="DH727" s="1263"/>
      <c r="DI727" s="1264"/>
      <c r="DJ727" s="1379">
        <f t="shared" si="26"/>
        <v>0</v>
      </c>
      <c r="DK727" s="1263"/>
      <c r="DL727" s="1263"/>
      <c r="DM727" s="1263"/>
      <c r="DN727" s="1264"/>
      <c r="DO727" s="1379">
        <f t="shared" si="27"/>
        <v>0</v>
      </c>
      <c r="DP727" s="1263"/>
      <c r="DQ727" s="1263"/>
      <c r="DR727" s="1263"/>
      <c r="DS727" s="1264"/>
      <c r="DT727" s="6"/>
      <c r="DU727" s="1377">
        <f t="shared" si="28"/>
        <v>0</v>
      </c>
      <c r="DV727" s="1263"/>
      <c r="DW727" s="1263"/>
      <c r="DX727" s="1263"/>
      <c r="DY727" s="1264"/>
      <c r="DZ727" s="1377">
        <f t="shared" si="29"/>
        <v>0</v>
      </c>
      <c r="EA727" s="1263"/>
      <c r="EB727" s="1263"/>
      <c r="EC727" s="1263"/>
      <c r="ED727" s="1264"/>
      <c r="EE727" s="1377">
        <f t="shared" si="30"/>
        <v>0</v>
      </c>
      <c r="EF727" s="1263"/>
      <c r="EG727" s="1263"/>
      <c r="EH727" s="1263"/>
      <c r="EI727" s="1264"/>
      <c r="EJ727" s="1377">
        <f t="shared" si="31"/>
        <v>0</v>
      </c>
      <c r="EK727" s="1263"/>
      <c r="EL727" s="1263"/>
      <c r="EM727" s="1263"/>
      <c r="EN727" s="1264"/>
      <c r="EO727" s="1377">
        <f t="shared" si="32"/>
        <v>0</v>
      </c>
      <c r="EP727" s="1263"/>
      <c r="EQ727" s="1263"/>
      <c r="ER727" s="1263"/>
      <c r="ES727" s="1264"/>
      <c r="ET727" s="1377">
        <f t="shared" si="33"/>
        <v>0</v>
      </c>
      <c r="EU727" s="1263"/>
      <c r="EV727" s="1263"/>
      <c r="EW727" s="1263"/>
      <c r="EX727" s="1264"/>
      <c r="EY727" s="4"/>
      <c r="EZ727" s="1414" t="str">
        <f t="shared" si="34"/>
        <v/>
      </c>
      <c r="FA727" s="1263"/>
      <c r="FB727" s="1263"/>
      <c r="FC727" s="1263"/>
      <c r="FD727" s="1264"/>
      <c r="FE727" s="1414">
        <f t="shared" si="35"/>
        <v>1230</v>
      </c>
      <c r="FF727" s="1263"/>
      <c r="FG727" s="1263"/>
      <c r="FH727" s="1263"/>
      <c r="FI727" s="1264"/>
      <c r="FJ727" s="1414" t="str">
        <f t="shared" si="36"/>
        <v/>
      </c>
      <c r="FK727" s="1263"/>
      <c r="FL727" s="1263"/>
      <c r="FM727" s="1263"/>
      <c r="FN727" s="1264"/>
      <c r="FO727" s="1414" t="str">
        <f t="shared" si="37"/>
        <v/>
      </c>
      <c r="FP727" s="1263"/>
      <c r="FQ727" s="1263"/>
      <c r="FR727" s="1263"/>
      <c r="FS727" s="1264"/>
      <c r="FT727" s="1414" t="str">
        <f t="shared" si="38"/>
        <v/>
      </c>
      <c r="FU727" s="1263"/>
      <c r="FV727" s="1263"/>
      <c r="FW727" s="1263"/>
      <c r="FX727" s="1264"/>
      <c r="FY727" s="1414" t="str">
        <f t="shared" si="39"/>
        <v/>
      </c>
      <c r="FZ727" s="1263"/>
      <c r="GA727" s="1263"/>
      <c r="GB727" s="1263"/>
      <c r="GC727" s="1264"/>
    </row>
    <row r="728" spans="1:185" ht="12.9" customHeight="1">
      <c r="A728" s="4"/>
      <c r="B728" s="1392" t="s">
        <v>955</v>
      </c>
      <c r="C728" s="1374"/>
      <c r="D728" s="1374"/>
      <c r="E728" s="1374"/>
      <c r="F728" s="1375"/>
      <c r="G728" s="1420">
        <v>1</v>
      </c>
      <c r="H728" s="1374"/>
      <c r="I728" s="1374"/>
      <c r="J728" s="1375"/>
      <c r="K728" s="1406"/>
      <c r="L728" s="1374"/>
      <c r="M728" s="1374"/>
      <c r="N728" s="1375"/>
      <c r="O728" s="1376">
        <v>1656</v>
      </c>
      <c r="P728" s="1374"/>
      <c r="Q728" s="1374"/>
      <c r="R728" s="1374"/>
      <c r="S728" s="1375"/>
      <c r="T728" s="1376">
        <v>48</v>
      </c>
      <c r="U728" s="1374"/>
      <c r="V728" s="1374"/>
      <c r="W728" s="1375"/>
      <c r="X728" s="1424">
        <f t="shared" si="9"/>
        <v>1704</v>
      </c>
      <c r="Y728" s="1263"/>
      <c r="Z728" s="1263"/>
      <c r="AA728" s="1263"/>
      <c r="AB728" s="1264"/>
      <c r="AC728" s="1398">
        <v>0.6</v>
      </c>
      <c r="AD728" s="1374"/>
      <c r="AE728" s="1374"/>
      <c r="AF728" s="1374"/>
      <c r="AG728" s="1375"/>
      <c r="AH728" s="1441">
        <f t="shared" si="10"/>
        <v>0.6</v>
      </c>
      <c r="AI728" s="1417"/>
      <c r="AJ728" s="1423"/>
      <c r="AK728" s="1392" t="s">
        <v>935</v>
      </c>
      <c r="AL728" s="1374"/>
      <c r="AM728" s="1374"/>
      <c r="AN728" s="1374"/>
      <c r="AO728" s="1375"/>
      <c r="AP728" s="3"/>
      <c r="AQ728" s="3"/>
      <c r="AR728" s="3"/>
      <c r="AS728" s="3"/>
      <c r="AZ728" s="118">
        <f t="shared" si="11"/>
        <v>2840</v>
      </c>
      <c r="BA728" s="3"/>
      <c r="BB728" s="3"/>
      <c r="BC728" s="3"/>
      <c r="BD728" s="3"/>
      <c r="BE728" s="204"/>
      <c r="BF728" s="294">
        <f t="shared" si="12"/>
        <v>1</v>
      </c>
      <c r="BG728" s="297">
        <f t="shared" si="13"/>
        <v>1.5625E-2</v>
      </c>
      <c r="BH728" s="298">
        <f t="shared" si="14"/>
        <v>9.3749999999999997E-3</v>
      </c>
      <c r="BI728" s="3"/>
      <c r="BJ728" s="3"/>
      <c r="BK728" s="3"/>
      <c r="BL728" s="3"/>
      <c r="BM728" s="3"/>
      <c r="BN728" s="3"/>
      <c r="BS728" s="294">
        <f t="shared" si="15"/>
        <v>1</v>
      </c>
      <c r="BT728" s="297">
        <f t="shared" si="16"/>
        <v>1.5625E-2</v>
      </c>
      <c r="BU728" s="298">
        <f t="shared" si="17"/>
        <v>9.3749999999999997E-3</v>
      </c>
      <c r="CC728" s="3"/>
      <c r="CD728" s="3"/>
      <c r="CE728" s="3"/>
      <c r="CF728" s="3"/>
      <c r="CG728" s="1414">
        <f t="shared" si="18"/>
        <v>0</v>
      </c>
      <c r="CH728" s="1264"/>
      <c r="CI728" s="1381">
        <f t="shared" si="19"/>
        <v>0</v>
      </c>
      <c r="CJ728" s="1264"/>
      <c r="CK728" s="1414">
        <f t="shared" si="20"/>
        <v>0</v>
      </c>
      <c r="CL728" s="1264"/>
      <c r="CM728" s="1381">
        <f t="shared" si="21"/>
        <v>0</v>
      </c>
      <c r="CN728" s="1264"/>
      <c r="CO728" s="3"/>
      <c r="CP728" s="1379">
        <f t="shared" si="22"/>
        <v>0</v>
      </c>
      <c r="CQ728" s="1263"/>
      <c r="CR728" s="1263"/>
      <c r="CS728" s="1263"/>
      <c r="CT728" s="1264"/>
      <c r="CU728" s="1379">
        <f t="shared" si="23"/>
        <v>1</v>
      </c>
      <c r="CV728" s="1263"/>
      <c r="CW728" s="1263"/>
      <c r="CX728" s="1263"/>
      <c r="CY728" s="1264"/>
      <c r="CZ728" s="1379">
        <f t="shared" si="24"/>
        <v>0</v>
      </c>
      <c r="DA728" s="1263"/>
      <c r="DB728" s="1263"/>
      <c r="DC728" s="1263"/>
      <c r="DD728" s="1264"/>
      <c r="DE728" s="1379">
        <f t="shared" si="25"/>
        <v>0</v>
      </c>
      <c r="DF728" s="1263"/>
      <c r="DG728" s="1263"/>
      <c r="DH728" s="1263"/>
      <c r="DI728" s="1264"/>
      <c r="DJ728" s="1379">
        <f t="shared" si="26"/>
        <v>0</v>
      </c>
      <c r="DK728" s="1263"/>
      <c r="DL728" s="1263"/>
      <c r="DM728" s="1263"/>
      <c r="DN728" s="1264"/>
      <c r="DO728" s="1379">
        <f t="shared" si="27"/>
        <v>0</v>
      </c>
      <c r="DP728" s="1263"/>
      <c r="DQ728" s="1263"/>
      <c r="DR728" s="1263"/>
      <c r="DS728" s="1264"/>
      <c r="DT728" s="6"/>
      <c r="DU728" s="1377">
        <f t="shared" si="28"/>
        <v>0</v>
      </c>
      <c r="DV728" s="1263"/>
      <c r="DW728" s="1263"/>
      <c r="DX728" s="1263"/>
      <c r="DY728" s="1264"/>
      <c r="DZ728" s="1377">
        <f t="shared" si="29"/>
        <v>0</v>
      </c>
      <c r="EA728" s="1263"/>
      <c r="EB728" s="1263"/>
      <c r="EC728" s="1263"/>
      <c r="ED728" s="1264"/>
      <c r="EE728" s="1377">
        <f t="shared" si="30"/>
        <v>0</v>
      </c>
      <c r="EF728" s="1263"/>
      <c r="EG728" s="1263"/>
      <c r="EH728" s="1263"/>
      <c r="EI728" s="1264"/>
      <c r="EJ728" s="1377">
        <f t="shared" si="31"/>
        <v>0</v>
      </c>
      <c r="EK728" s="1263"/>
      <c r="EL728" s="1263"/>
      <c r="EM728" s="1263"/>
      <c r="EN728" s="1264"/>
      <c r="EO728" s="1377">
        <f t="shared" si="32"/>
        <v>0</v>
      </c>
      <c r="EP728" s="1263"/>
      <c r="EQ728" s="1263"/>
      <c r="ER728" s="1263"/>
      <c r="ES728" s="1264"/>
      <c r="ET728" s="1377">
        <f t="shared" si="33"/>
        <v>0</v>
      </c>
      <c r="EU728" s="1263"/>
      <c r="EV728" s="1263"/>
      <c r="EW728" s="1263"/>
      <c r="EX728" s="1264"/>
      <c r="EZ728" s="1414" t="str">
        <f t="shared" si="34"/>
        <v/>
      </c>
      <c r="FA728" s="1263"/>
      <c r="FB728" s="1263"/>
      <c r="FC728" s="1263"/>
      <c r="FD728" s="1264"/>
      <c r="FE728" s="1414">
        <f t="shared" si="35"/>
        <v>1656</v>
      </c>
      <c r="FF728" s="1263"/>
      <c r="FG728" s="1263"/>
      <c r="FH728" s="1263"/>
      <c r="FI728" s="1264"/>
      <c r="FJ728" s="1414" t="str">
        <f t="shared" si="36"/>
        <v/>
      </c>
      <c r="FK728" s="1263"/>
      <c r="FL728" s="1263"/>
      <c r="FM728" s="1263"/>
      <c r="FN728" s="1264"/>
      <c r="FO728" s="1414" t="str">
        <f t="shared" si="37"/>
        <v/>
      </c>
      <c r="FP728" s="1263"/>
      <c r="FQ728" s="1263"/>
      <c r="FR728" s="1263"/>
      <c r="FS728" s="1264"/>
      <c r="FT728" s="1414" t="str">
        <f t="shared" si="38"/>
        <v/>
      </c>
      <c r="FU728" s="1263"/>
      <c r="FV728" s="1263"/>
      <c r="FW728" s="1263"/>
      <c r="FX728" s="1264"/>
      <c r="FY728" s="1414" t="str">
        <f t="shared" si="39"/>
        <v/>
      </c>
      <c r="FZ728" s="1263"/>
      <c r="GA728" s="1263"/>
      <c r="GB728" s="1263"/>
      <c r="GC728" s="1264"/>
    </row>
    <row r="729" spans="1:185" ht="12.9" customHeight="1">
      <c r="B729" s="1392" t="s">
        <v>955</v>
      </c>
      <c r="C729" s="1374"/>
      <c r="D729" s="1374"/>
      <c r="E729" s="1374"/>
      <c r="F729" s="1375"/>
      <c r="G729" s="1420">
        <v>1</v>
      </c>
      <c r="H729" s="1374"/>
      <c r="I729" s="1374"/>
      <c r="J729" s="1375"/>
      <c r="K729" s="1406"/>
      <c r="L729" s="1374"/>
      <c r="M729" s="1374"/>
      <c r="N729" s="1375"/>
      <c r="O729" s="1376">
        <v>804</v>
      </c>
      <c r="P729" s="1374"/>
      <c r="Q729" s="1374"/>
      <c r="R729" s="1374"/>
      <c r="S729" s="1375"/>
      <c r="T729" s="1376">
        <v>48</v>
      </c>
      <c r="U729" s="1374"/>
      <c r="V729" s="1374"/>
      <c r="W729" s="1375"/>
      <c r="X729" s="1424">
        <f t="shared" si="9"/>
        <v>852</v>
      </c>
      <c r="Y729" s="1263"/>
      <c r="Z729" s="1263"/>
      <c r="AA729" s="1263"/>
      <c r="AB729" s="1264"/>
      <c r="AC729" s="1398">
        <v>0.3</v>
      </c>
      <c r="AD729" s="1374"/>
      <c r="AE729" s="1374"/>
      <c r="AF729" s="1374"/>
      <c r="AG729" s="1375"/>
      <c r="AH729" s="1441">
        <f t="shared" si="10"/>
        <v>0.3</v>
      </c>
      <c r="AI729" s="1417"/>
      <c r="AJ729" s="1423"/>
      <c r="AK729" s="1392" t="s">
        <v>935</v>
      </c>
      <c r="AL729" s="1374"/>
      <c r="AM729" s="1374"/>
      <c r="AN729" s="1374"/>
      <c r="AO729" s="1375"/>
      <c r="AP729" s="3"/>
      <c r="AQ729" s="3"/>
      <c r="AR729" s="3"/>
      <c r="AS729" s="3"/>
      <c r="AY729" s="116"/>
      <c r="AZ729" s="118">
        <f t="shared" si="11"/>
        <v>2840</v>
      </c>
      <c r="BA729" s="3"/>
      <c r="BB729" s="3"/>
      <c r="BC729" s="3"/>
      <c r="BD729" s="3"/>
      <c r="BE729" s="204"/>
      <c r="BF729" s="294">
        <f t="shared" si="12"/>
        <v>1</v>
      </c>
      <c r="BG729" s="297">
        <f t="shared" si="13"/>
        <v>1.5625E-2</v>
      </c>
      <c r="BH729" s="298">
        <f t="shared" si="14"/>
        <v>4.6874999999999998E-3</v>
      </c>
      <c r="BI729" s="3"/>
      <c r="BJ729" s="3"/>
      <c r="BK729" s="3"/>
      <c r="BL729" s="3"/>
      <c r="BM729" s="3"/>
      <c r="BN729" s="3"/>
      <c r="BS729" s="294">
        <f t="shared" si="15"/>
        <v>1</v>
      </c>
      <c r="BT729" s="297">
        <f t="shared" si="16"/>
        <v>1.5625E-2</v>
      </c>
      <c r="BU729" s="298">
        <f t="shared" si="17"/>
        <v>4.6874999999999998E-3</v>
      </c>
      <c r="CC729" s="3"/>
      <c r="CD729" s="3"/>
      <c r="CE729" s="3"/>
      <c r="CF729" s="3"/>
      <c r="CG729" s="1414">
        <f t="shared" si="18"/>
        <v>0</v>
      </c>
      <c r="CH729" s="1264"/>
      <c r="CI729" s="1381">
        <f t="shared" si="19"/>
        <v>0</v>
      </c>
      <c r="CJ729" s="1264"/>
      <c r="CK729" s="1414">
        <f t="shared" si="20"/>
        <v>1</v>
      </c>
      <c r="CL729" s="1264"/>
      <c r="CM729" s="1381">
        <f t="shared" si="21"/>
        <v>1</v>
      </c>
      <c r="CN729" s="1264"/>
      <c r="CO729" s="3"/>
      <c r="CP729" s="1379">
        <f t="shared" si="22"/>
        <v>0</v>
      </c>
      <c r="CQ729" s="1263"/>
      <c r="CR729" s="1263"/>
      <c r="CS729" s="1263"/>
      <c r="CT729" s="1264"/>
      <c r="CU729" s="1379">
        <f t="shared" si="23"/>
        <v>1</v>
      </c>
      <c r="CV729" s="1263"/>
      <c r="CW729" s="1263"/>
      <c r="CX729" s="1263"/>
      <c r="CY729" s="1264"/>
      <c r="CZ729" s="1379">
        <f t="shared" si="24"/>
        <v>0</v>
      </c>
      <c r="DA729" s="1263"/>
      <c r="DB729" s="1263"/>
      <c r="DC729" s="1263"/>
      <c r="DD729" s="1264"/>
      <c r="DE729" s="1379">
        <f t="shared" si="25"/>
        <v>0</v>
      </c>
      <c r="DF729" s="1263"/>
      <c r="DG729" s="1263"/>
      <c r="DH729" s="1263"/>
      <c r="DI729" s="1264"/>
      <c r="DJ729" s="1379">
        <f t="shared" si="26"/>
        <v>0</v>
      </c>
      <c r="DK729" s="1263"/>
      <c r="DL729" s="1263"/>
      <c r="DM729" s="1263"/>
      <c r="DN729" s="1264"/>
      <c r="DO729" s="1379">
        <f t="shared" si="27"/>
        <v>0</v>
      </c>
      <c r="DP729" s="1263"/>
      <c r="DQ729" s="1263"/>
      <c r="DR729" s="1263"/>
      <c r="DS729" s="1264"/>
      <c r="DT729" s="6"/>
      <c r="DU729" s="1377">
        <f t="shared" si="28"/>
        <v>0</v>
      </c>
      <c r="DV729" s="1263"/>
      <c r="DW729" s="1263"/>
      <c r="DX729" s="1263"/>
      <c r="DY729" s="1264"/>
      <c r="DZ729" s="1377">
        <f t="shared" si="29"/>
        <v>1</v>
      </c>
      <c r="EA729" s="1263"/>
      <c r="EB729" s="1263"/>
      <c r="EC729" s="1263"/>
      <c r="ED729" s="1264"/>
      <c r="EE729" s="1377">
        <f t="shared" si="30"/>
        <v>0</v>
      </c>
      <c r="EF729" s="1263"/>
      <c r="EG729" s="1263"/>
      <c r="EH729" s="1263"/>
      <c r="EI729" s="1264"/>
      <c r="EJ729" s="1377">
        <f t="shared" si="31"/>
        <v>0</v>
      </c>
      <c r="EK729" s="1263"/>
      <c r="EL729" s="1263"/>
      <c r="EM729" s="1263"/>
      <c r="EN729" s="1264"/>
      <c r="EO729" s="1377">
        <f t="shared" si="32"/>
        <v>0</v>
      </c>
      <c r="EP729" s="1263"/>
      <c r="EQ729" s="1263"/>
      <c r="ER729" s="1263"/>
      <c r="ES729" s="1264"/>
      <c r="ET729" s="1377">
        <f t="shared" si="33"/>
        <v>0</v>
      </c>
      <c r="EU729" s="1263"/>
      <c r="EV729" s="1263"/>
      <c r="EW729" s="1263"/>
      <c r="EX729" s="1264"/>
      <c r="EZ729" s="1414" t="str">
        <f t="shared" si="34"/>
        <v/>
      </c>
      <c r="FA729" s="1263"/>
      <c r="FB729" s="1263"/>
      <c r="FC729" s="1263"/>
      <c r="FD729" s="1264"/>
      <c r="FE729" s="1414">
        <f t="shared" si="35"/>
        <v>804</v>
      </c>
      <c r="FF729" s="1263"/>
      <c r="FG729" s="1263"/>
      <c r="FH729" s="1263"/>
      <c r="FI729" s="1264"/>
      <c r="FJ729" s="1414" t="str">
        <f t="shared" si="36"/>
        <v/>
      </c>
      <c r="FK729" s="1263"/>
      <c r="FL729" s="1263"/>
      <c r="FM729" s="1263"/>
      <c r="FN729" s="1264"/>
      <c r="FO729" s="1414" t="str">
        <f t="shared" si="37"/>
        <v/>
      </c>
      <c r="FP729" s="1263"/>
      <c r="FQ729" s="1263"/>
      <c r="FR729" s="1263"/>
      <c r="FS729" s="1264"/>
      <c r="FT729" s="1414" t="str">
        <f t="shared" si="38"/>
        <v/>
      </c>
      <c r="FU729" s="1263"/>
      <c r="FV729" s="1263"/>
      <c r="FW729" s="1263"/>
      <c r="FX729" s="1264"/>
      <c r="FY729" s="1414" t="str">
        <f t="shared" si="39"/>
        <v/>
      </c>
      <c r="FZ729" s="1263"/>
      <c r="GA729" s="1263"/>
      <c r="GB729" s="1263"/>
      <c r="GC729" s="1264"/>
    </row>
    <row r="730" spans="1:185" ht="12.9" customHeight="1">
      <c r="B730" s="1392" t="s">
        <v>955</v>
      </c>
      <c r="C730" s="1374"/>
      <c r="D730" s="1374"/>
      <c r="E730" s="1374"/>
      <c r="F730" s="1375"/>
      <c r="G730" s="1420">
        <v>1</v>
      </c>
      <c r="H730" s="1374"/>
      <c r="I730" s="1374"/>
      <c r="J730" s="1375"/>
      <c r="K730" s="1406"/>
      <c r="L730" s="1374"/>
      <c r="M730" s="1374"/>
      <c r="N730" s="1375"/>
      <c r="O730" s="1376">
        <v>1372</v>
      </c>
      <c r="P730" s="1374"/>
      <c r="Q730" s="1374"/>
      <c r="R730" s="1374"/>
      <c r="S730" s="1375"/>
      <c r="T730" s="1376">
        <v>48</v>
      </c>
      <c r="U730" s="1374"/>
      <c r="V730" s="1374"/>
      <c r="W730" s="1375"/>
      <c r="X730" s="1424">
        <f t="shared" si="9"/>
        <v>1420</v>
      </c>
      <c r="Y730" s="1263"/>
      <c r="Z730" s="1263"/>
      <c r="AA730" s="1263"/>
      <c r="AB730" s="1264"/>
      <c r="AC730" s="1398">
        <v>0.5</v>
      </c>
      <c r="AD730" s="1374"/>
      <c r="AE730" s="1374"/>
      <c r="AF730" s="1374"/>
      <c r="AG730" s="1375"/>
      <c r="AH730" s="1441">
        <f t="shared" si="10"/>
        <v>0.5</v>
      </c>
      <c r="AI730" s="1417"/>
      <c r="AJ730" s="1423"/>
      <c r="AK730" s="1392" t="s">
        <v>935</v>
      </c>
      <c r="AL730" s="1374"/>
      <c r="AM730" s="1374"/>
      <c r="AN730" s="1374"/>
      <c r="AO730" s="1375"/>
      <c r="AP730" s="3"/>
      <c r="AQ730" s="3"/>
      <c r="AR730" s="3"/>
      <c r="AS730" s="3"/>
      <c r="AY730" s="116"/>
      <c r="AZ730" s="118">
        <f t="shared" si="11"/>
        <v>2840</v>
      </c>
      <c r="BA730" s="3"/>
      <c r="BB730" s="3"/>
      <c r="BC730" s="3"/>
      <c r="BD730" s="3"/>
      <c r="BE730" s="204"/>
      <c r="BF730" s="294">
        <f t="shared" si="12"/>
        <v>1</v>
      </c>
      <c r="BG730" s="297">
        <f t="shared" si="13"/>
        <v>1.5625E-2</v>
      </c>
      <c r="BH730" s="298">
        <f t="shared" si="14"/>
        <v>7.8125E-3</v>
      </c>
      <c r="BI730" s="3"/>
      <c r="BJ730" s="3"/>
      <c r="BK730" s="3"/>
      <c r="BL730" s="3"/>
      <c r="BM730" s="3"/>
      <c r="BN730" s="3"/>
      <c r="BS730" s="294">
        <f t="shared" si="15"/>
        <v>1</v>
      </c>
      <c r="BT730" s="297">
        <f t="shared" si="16"/>
        <v>1.5625E-2</v>
      </c>
      <c r="BU730" s="298">
        <f t="shared" si="17"/>
        <v>7.8125E-3</v>
      </c>
      <c r="CC730" s="3"/>
      <c r="CD730" s="3"/>
      <c r="CE730" s="3"/>
      <c r="CF730" s="3"/>
      <c r="CG730" s="1414">
        <f t="shared" si="18"/>
        <v>1</v>
      </c>
      <c r="CH730" s="1264"/>
      <c r="CI730" s="1381">
        <f t="shared" si="19"/>
        <v>1</v>
      </c>
      <c r="CJ730" s="1264"/>
      <c r="CK730" s="1414">
        <f t="shared" si="20"/>
        <v>0</v>
      </c>
      <c r="CL730" s="1264"/>
      <c r="CM730" s="1381">
        <f t="shared" si="21"/>
        <v>0</v>
      </c>
      <c r="CN730" s="1264"/>
      <c r="CO730" s="3"/>
      <c r="CP730" s="1379">
        <f t="shared" si="22"/>
        <v>0</v>
      </c>
      <c r="CQ730" s="1263"/>
      <c r="CR730" s="1263"/>
      <c r="CS730" s="1263"/>
      <c r="CT730" s="1264"/>
      <c r="CU730" s="1379">
        <f t="shared" si="23"/>
        <v>1</v>
      </c>
      <c r="CV730" s="1263"/>
      <c r="CW730" s="1263"/>
      <c r="CX730" s="1263"/>
      <c r="CY730" s="1264"/>
      <c r="CZ730" s="1379">
        <f t="shared" si="24"/>
        <v>0</v>
      </c>
      <c r="DA730" s="1263"/>
      <c r="DB730" s="1263"/>
      <c r="DC730" s="1263"/>
      <c r="DD730" s="1264"/>
      <c r="DE730" s="1379">
        <f t="shared" si="25"/>
        <v>0</v>
      </c>
      <c r="DF730" s="1263"/>
      <c r="DG730" s="1263"/>
      <c r="DH730" s="1263"/>
      <c r="DI730" s="1264"/>
      <c r="DJ730" s="1379">
        <f t="shared" si="26"/>
        <v>0</v>
      </c>
      <c r="DK730" s="1263"/>
      <c r="DL730" s="1263"/>
      <c r="DM730" s="1263"/>
      <c r="DN730" s="1264"/>
      <c r="DO730" s="1379">
        <f t="shared" si="27"/>
        <v>0</v>
      </c>
      <c r="DP730" s="1263"/>
      <c r="DQ730" s="1263"/>
      <c r="DR730" s="1263"/>
      <c r="DS730" s="1264"/>
      <c r="DT730" s="6"/>
      <c r="DU730" s="1377">
        <f t="shared" si="28"/>
        <v>0</v>
      </c>
      <c r="DV730" s="1263"/>
      <c r="DW730" s="1263"/>
      <c r="DX730" s="1263"/>
      <c r="DY730" s="1264"/>
      <c r="DZ730" s="1377">
        <f t="shared" si="29"/>
        <v>0</v>
      </c>
      <c r="EA730" s="1263"/>
      <c r="EB730" s="1263"/>
      <c r="EC730" s="1263"/>
      <c r="ED730" s="1264"/>
      <c r="EE730" s="1377">
        <f t="shared" si="30"/>
        <v>0</v>
      </c>
      <c r="EF730" s="1263"/>
      <c r="EG730" s="1263"/>
      <c r="EH730" s="1263"/>
      <c r="EI730" s="1264"/>
      <c r="EJ730" s="1377">
        <f t="shared" si="31"/>
        <v>0</v>
      </c>
      <c r="EK730" s="1263"/>
      <c r="EL730" s="1263"/>
      <c r="EM730" s="1263"/>
      <c r="EN730" s="1264"/>
      <c r="EO730" s="1377">
        <f t="shared" si="32"/>
        <v>0</v>
      </c>
      <c r="EP730" s="1263"/>
      <c r="EQ730" s="1263"/>
      <c r="ER730" s="1263"/>
      <c r="ES730" s="1264"/>
      <c r="ET730" s="1377">
        <f t="shared" si="33"/>
        <v>0</v>
      </c>
      <c r="EU730" s="1263"/>
      <c r="EV730" s="1263"/>
      <c r="EW730" s="1263"/>
      <c r="EX730" s="1264"/>
      <c r="EZ730" s="1414" t="str">
        <f t="shared" si="34"/>
        <v/>
      </c>
      <c r="FA730" s="1263"/>
      <c r="FB730" s="1263"/>
      <c r="FC730" s="1263"/>
      <c r="FD730" s="1264"/>
      <c r="FE730" s="1414">
        <f t="shared" si="35"/>
        <v>1372</v>
      </c>
      <c r="FF730" s="1263"/>
      <c r="FG730" s="1263"/>
      <c r="FH730" s="1263"/>
      <c r="FI730" s="1264"/>
      <c r="FJ730" s="1414" t="str">
        <f t="shared" si="36"/>
        <v/>
      </c>
      <c r="FK730" s="1263"/>
      <c r="FL730" s="1263"/>
      <c r="FM730" s="1263"/>
      <c r="FN730" s="1264"/>
      <c r="FO730" s="1414" t="str">
        <f t="shared" si="37"/>
        <v/>
      </c>
      <c r="FP730" s="1263"/>
      <c r="FQ730" s="1263"/>
      <c r="FR730" s="1263"/>
      <c r="FS730" s="1264"/>
      <c r="FT730" s="1414" t="str">
        <f t="shared" si="38"/>
        <v/>
      </c>
      <c r="FU730" s="1263"/>
      <c r="FV730" s="1263"/>
      <c r="FW730" s="1263"/>
      <c r="FX730" s="1264"/>
      <c r="FY730" s="1414" t="str">
        <f t="shared" si="39"/>
        <v/>
      </c>
      <c r="FZ730" s="1263"/>
      <c r="GA730" s="1263"/>
      <c r="GB730" s="1263"/>
      <c r="GC730" s="1264"/>
    </row>
    <row r="731" spans="1:185" ht="12.9" customHeight="1">
      <c r="B731" s="1392" t="s">
        <v>955</v>
      </c>
      <c r="C731" s="1374"/>
      <c r="D731" s="1374"/>
      <c r="E731" s="1374"/>
      <c r="F731" s="1375"/>
      <c r="G731" s="1420">
        <v>4</v>
      </c>
      <c r="H731" s="1374"/>
      <c r="I731" s="1374"/>
      <c r="J731" s="1375"/>
      <c r="K731" s="1406"/>
      <c r="L731" s="1374"/>
      <c r="M731" s="1374"/>
      <c r="N731" s="1375"/>
      <c r="O731" s="1376">
        <v>1656</v>
      </c>
      <c r="P731" s="1374"/>
      <c r="Q731" s="1374"/>
      <c r="R731" s="1374"/>
      <c r="S731" s="1375"/>
      <c r="T731" s="1376">
        <v>48</v>
      </c>
      <c r="U731" s="1374"/>
      <c r="V731" s="1374"/>
      <c r="W731" s="1375"/>
      <c r="X731" s="1424">
        <f t="shared" si="9"/>
        <v>1704</v>
      </c>
      <c r="Y731" s="1263"/>
      <c r="Z731" s="1263"/>
      <c r="AA731" s="1263"/>
      <c r="AB731" s="1264"/>
      <c r="AC731" s="1398">
        <v>0.6</v>
      </c>
      <c r="AD731" s="1374"/>
      <c r="AE731" s="1374"/>
      <c r="AF731" s="1374"/>
      <c r="AG731" s="1375"/>
      <c r="AH731" s="1441">
        <f t="shared" si="10"/>
        <v>0.6</v>
      </c>
      <c r="AI731" s="1417"/>
      <c r="AJ731" s="1423"/>
      <c r="AK731" s="1392" t="s">
        <v>935</v>
      </c>
      <c r="AL731" s="1374"/>
      <c r="AM731" s="1374"/>
      <c r="AN731" s="1374"/>
      <c r="AO731" s="1375"/>
      <c r="AP731" s="3"/>
      <c r="AQ731" s="3"/>
      <c r="AR731" s="3"/>
      <c r="AS731" s="3"/>
      <c r="AY731" s="116"/>
      <c r="AZ731" s="118">
        <f t="shared" si="11"/>
        <v>2840</v>
      </c>
      <c r="BA731" s="3"/>
      <c r="BB731" s="3"/>
      <c r="BC731" s="3"/>
      <c r="BD731" s="3"/>
      <c r="BE731" s="204"/>
      <c r="BF731" s="294">
        <f t="shared" si="12"/>
        <v>4</v>
      </c>
      <c r="BG731" s="297">
        <f t="shared" si="13"/>
        <v>6.25E-2</v>
      </c>
      <c r="BH731" s="298">
        <f t="shared" si="14"/>
        <v>3.7499999999999999E-2</v>
      </c>
      <c r="BI731" s="3"/>
      <c r="BJ731" s="3"/>
      <c r="BK731" s="3"/>
      <c r="BL731" s="3"/>
      <c r="BM731" s="3"/>
      <c r="BN731" s="3"/>
      <c r="BS731" s="294">
        <f t="shared" si="15"/>
        <v>4</v>
      </c>
      <c r="BT731" s="297">
        <f t="shared" si="16"/>
        <v>6.25E-2</v>
      </c>
      <c r="BU731" s="298">
        <f t="shared" si="17"/>
        <v>3.7499999999999999E-2</v>
      </c>
      <c r="CC731" s="3"/>
      <c r="CD731" s="3"/>
      <c r="CE731" s="3"/>
      <c r="CF731" s="3"/>
      <c r="CG731" s="1414">
        <f t="shared" si="18"/>
        <v>0</v>
      </c>
      <c r="CH731" s="1264"/>
      <c r="CI731" s="1381">
        <f t="shared" si="19"/>
        <v>0</v>
      </c>
      <c r="CJ731" s="1264"/>
      <c r="CK731" s="1414">
        <f t="shared" si="20"/>
        <v>0</v>
      </c>
      <c r="CL731" s="1264"/>
      <c r="CM731" s="1381">
        <f t="shared" si="21"/>
        <v>0</v>
      </c>
      <c r="CN731" s="1264"/>
      <c r="CO731" s="3"/>
      <c r="CP731" s="1379">
        <f t="shared" si="22"/>
        <v>0</v>
      </c>
      <c r="CQ731" s="1263"/>
      <c r="CR731" s="1263"/>
      <c r="CS731" s="1263"/>
      <c r="CT731" s="1264"/>
      <c r="CU731" s="1379">
        <f t="shared" si="23"/>
        <v>4</v>
      </c>
      <c r="CV731" s="1263"/>
      <c r="CW731" s="1263"/>
      <c r="CX731" s="1263"/>
      <c r="CY731" s="1264"/>
      <c r="CZ731" s="1379">
        <f t="shared" si="24"/>
        <v>0</v>
      </c>
      <c r="DA731" s="1263"/>
      <c r="DB731" s="1263"/>
      <c r="DC731" s="1263"/>
      <c r="DD731" s="1264"/>
      <c r="DE731" s="1379">
        <f t="shared" si="25"/>
        <v>0</v>
      </c>
      <c r="DF731" s="1263"/>
      <c r="DG731" s="1263"/>
      <c r="DH731" s="1263"/>
      <c r="DI731" s="1264"/>
      <c r="DJ731" s="1379">
        <f t="shared" si="26"/>
        <v>0</v>
      </c>
      <c r="DK731" s="1263"/>
      <c r="DL731" s="1263"/>
      <c r="DM731" s="1263"/>
      <c r="DN731" s="1264"/>
      <c r="DO731" s="1379">
        <f t="shared" si="27"/>
        <v>0</v>
      </c>
      <c r="DP731" s="1263"/>
      <c r="DQ731" s="1263"/>
      <c r="DR731" s="1263"/>
      <c r="DS731" s="1264"/>
      <c r="DT731" s="6"/>
      <c r="DU731" s="1377">
        <f t="shared" si="28"/>
        <v>0</v>
      </c>
      <c r="DV731" s="1263"/>
      <c r="DW731" s="1263"/>
      <c r="DX731" s="1263"/>
      <c r="DY731" s="1264"/>
      <c r="DZ731" s="1377">
        <f t="shared" si="29"/>
        <v>0</v>
      </c>
      <c r="EA731" s="1263"/>
      <c r="EB731" s="1263"/>
      <c r="EC731" s="1263"/>
      <c r="ED731" s="1264"/>
      <c r="EE731" s="1377">
        <f t="shared" si="30"/>
        <v>0</v>
      </c>
      <c r="EF731" s="1263"/>
      <c r="EG731" s="1263"/>
      <c r="EH731" s="1263"/>
      <c r="EI731" s="1264"/>
      <c r="EJ731" s="1377">
        <f t="shared" si="31"/>
        <v>0</v>
      </c>
      <c r="EK731" s="1263"/>
      <c r="EL731" s="1263"/>
      <c r="EM731" s="1263"/>
      <c r="EN731" s="1264"/>
      <c r="EO731" s="1377">
        <f t="shared" si="32"/>
        <v>0</v>
      </c>
      <c r="EP731" s="1263"/>
      <c r="EQ731" s="1263"/>
      <c r="ER731" s="1263"/>
      <c r="ES731" s="1264"/>
      <c r="ET731" s="1377">
        <f t="shared" si="33"/>
        <v>0</v>
      </c>
      <c r="EU731" s="1263"/>
      <c r="EV731" s="1263"/>
      <c r="EW731" s="1263"/>
      <c r="EX731" s="1264"/>
      <c r="EZ731" s="1414" t="str">
        <f t="shared" si="34"/>
        <v/>
      </c>
      <c r="FA731" s="1263"/>
      <c r="FB731" s="1263"/>
      <c r="FC731" s="1263"/>
      <c r="FD731" s="1264"/>
      <c r="FE731" s="1414">
        <f t="shared" si="35"/>
        <v>1656</v>
      </c>
      <c r="FF731" s="1263"/>
      <c r="FG731" s="1263"/>
      <c r="FH731" s="1263"/>
      <c r="FI731" s="1264"/>
      <c r="FJ731" s="1414" t="str">
        <f t="shared" si="36"/>
        <v/>
      </c>
      <c r="FK731" s="1263"/>
      <c r="FL731" s="1263"/>
      <c r="FM731" s="1263"/>
      <c r="FN731" s="1264"/>
      <c r="FO731" s="1414" t="str">
        <f t="shared" si="37"/>
        <v/>
      </c>
      <c r="FP731" s="1263"/>
      <c r="FQ731" s="1263"/>
      <c r="FR731" s="1263"/>
      <c r="FS731" s="1264"/>
      <c r="FT731" s="1414" t="str">
        <f t="shared" si="38"/>
        <v/>
      </c>
      <c r="FU731" s="1263"/>
      <c r="FV731" s="1263"/>
      <c r="FW731" s="1263"/>
      <c r="FX731" s="1264"/>
      <c r="FY731" s="1414" t="str">
        <f t="shared" si="39"/>
        <v/>
      </c>
      <c r="FZ731" s="1263"/>
      <c r="GA731" s="1263"/>
      <c r="GB731" s="1263"/>
      <c r="GC731" s="1264"/>
    </row>
    <row r="732" spans="1:185" ht="12.9" customHeight="1">
      <c r="B732" s="1392" t="s">
        <v>955</v>
      </c>
      <c r="C732" s="1374"/>
      <c r="D732" s="1374"/>
      <c r="E732" s="1374"/>
      <c r="F732" s="1375"/>
      <c r="G732" s="1420">
        <v>1</v>
      </c>
      <c r="H732" s="1374"/>
      <c r="I732" s="1374"/>
      <c r="J732" s="1375"/>
      <c r="K732" s="1406"/>
      <c r="L732" s="1374"/>
      <c r="M732" s="1374"/>
      <c r="N732" s="1375"/>
      <c r="O732" s="1376">
        <v>1230</v>
      </c>
      <c r="P732" s="1374"/>
      <c r="Q732" s="1374"/>
      <c r="R732" s="1374"/>
      <c r="S732" s="1375"/>
      <c r="T732" s="1376">
        <v>48</v>
      </c>
      <c r="U732" s="1374"/>
      <c r="V732" s="1374"/>
      <c r="W732" s="1375"/>
      <c r="X732" s="1424">
        <f t="shared" si="9"/>
        <v>1278</v>
      </c>
      <c r="Y732" s="1263"/>
      <c r="Z732" s="1263"/>
      <c r="AA732" s="1263"/>
      <c r="AB732" s="1264"/>
      <c r="AC732" s="1398">
        <v>0.45</v>
      </c>
      <c r="AD732" s="1374"/>
      <c r="AE732" s="1374"/>
      <c r="AF732" s="1374"/>
      <c r="AG732" s="1375"/>
      <c r="AH732" s="1441">
        <f t="shared" si="10"/>
        <v>0.45</v>
      </c>
      <c r="AI732" s="1417"/>
      <c r="AJ732" s="1423"/>
      <c r="AK732" s="1392" t="s">
        <v>935</v>
      </c>
      <c r="AL732" s="1374"/>
      <c r="AM732" s="1374"/>
      <c r="AN732" s="1374"/>
      <c r="AO732" s="1375"/>
      <c r="AP732" s="3"/>
      <c r="AQ732" s="3"/>
      <c r="AR732" s="3"/>
      <c r="AS732" s="3"/>
      <c r="AY732" s="116"/>
      <c r="AZ732" s="118">
        <f t="shared" si="11"/>
        <v>2840</v>
      </c>
      <c r="BA732" s="3"/>
      <c r="BB732" s="3"/>
      <c r="BC732" s="3"/>
      <c r="BD732" s="3"/>
      <c r="BE732" s="204"/>
      <c r="BF732" s="294">
        <f t="shared" si="12"/>
        <v>1</v>
      </c>
      <c r="BG732" s="297">
        <f t="shared" si="13"/>
        <v>1.5625E-2</v>
      </c>
      <c r="BH732" s="298">
        <f t="shared" si="14"/>
        <v>7.0312500000000002E-3</v>
      </c>
      <c r="BI732" s="3"/>
      <c r="BJ732" s="3"/>
      <c r="BK732" s="3"/>
      <c r="BL732" s="3"/>
      <c r="BM732" s="3"/>
      <c r="BN732" s="3"/>
      <c r="BS732" s="294">
        <f t="shared" si="15"/>
        <v>1</v>
      </c>
      <c r="BT732" s="297">
        <f t="shared" si="16"/>
        <v>1.5625E-2</v>
      </c>
      <c r="BU732" s="298">
        <f t="shared" si="17"/>
        <v>7.0312500000000002E-3</v>
      </c>
      <c r="CC732" s="3"/>
      <c r="CE732" s="3"/>
      <c r="CF732" s="3"/>
      <c r="CG732" s="1414">
        <f t="shared" si="18"/>
        <v>1</v>
      </c>
      <c r="CH732" s="1264"/>
      <c r="CI732" s="1381">
        <f t="shared" si="19"/>
        <v>1</v>
      </c>
      <c r="CJ732" s="1264"/>
      <c r="CK732" s="1414">
        <f t="shared" si="20"/>
        <v>0</v>
      </c>
      <c r="CL732" s="1264"/>
      <c r="CM732" s="1381">
        <f t="shared" si="21"/>
        <v>0</v>
      </c>
      <c r="CN732" s="1264"/>
      <c r="CO732" s="3"/>
      <c r="CP732" s="1379">
        <f t="shared" si="22"/>
        <v>0</v>
      </c>
      <c r="CQ732" s="1263"/>
      <c r="CR732" s="1263"/>
      <c r="CS732" s="1263"/>
      <c r="CT732" s="1264"/>
      <c r="CU732" s="1379">
        <f t="shared" si="23"/>
        <v>1</v>
      </c>
      <c r="CV732" s="1263"/>
      <c r="CW732" s="1263"/>
      <c r="CX732" s="1263"/>
      <c r="CY732" s="1264"/>
      <c r="CZ732" s="1379">
        <f t="shared" si="24"/>
        <v>0</v>
      </c>
      <c r="DA732" s="1263"/>
      <c r="DB732" s="1263"/>
      <c r="DC732" s="1263"/>
      <c r="DD732" s="1264"/>
      <c r="DE732" s="1379">
        <f t="shared" si="25"/>
        <v>0</v>
      </c>
      <c r="DF732" s="1263"/>
      <c r="DG732" s="1263"/>
      <c r="DH732" s="1263"/>
      <c r="DI732" s="1264"/>
      <c r="DJ732" s="1379">
        <f t="shared" si="26"/>
        <v>0</v>
      </c>
      <c r="DK732" s="1263"/>
      <c r="DL732" s="1263"/>
      <c r="DM732" s="1263"/>
      <c r="DN732" s="1264"/>
      <c r="DO732" s="1379">
        <f t="shared" si="27"/>
        <v>0</v>
      </c>
      <c r="DP732" s="1263"/>
      <c r="DQ732" s="1263"/>
      <c r="DR732" s="1263"/>
      <c r="DS732" s="1264"/>
      <c r="DT732" s="6"/>
      <c r="DU732" s="1377">
        <f t="shared" si="28"/>
        <v>0</v>
      </c>
      <c r="DV732" s="1263"/>
      <c r="DW732" s="1263"/>
      <c r="DX732" s="1263"/>
      <c r="DY732" s="1264"/>
      <c r="DZ732" s="1377">
        <f t="shared" si="29"/>
        <v>0</v>
      </c>
      <c r="EA732" s="1263"/>
      <c r="EB732" s="1263"/>
      <c r="EC732" s="1263"/>
      <c r="ED732" s="1264"/>
      <c r="EE732" s="1377">
        <f t="shared" si="30"/>
        <v>0</v>
      </c>
      <c r="EF732" s="1263"/>
      <c r="EG732" s="1263"/>
      <c r="EH732" s="1263"/>
      <c r="EI732" s="1264"/>
      <c r="EJ732" s="1377">
        <f t="shared" si="31"/>
        <v>0</v>
      </c>
      <c r="EK732" s="1263"/>
      <c r="EL732" s="1263"/>
      <c r="EM732" s="1263"/>
      <c r="EN732" s="1264"/>
      <c r="EO732" s="1377">
        <f t="shared" si="32"/>
        <v>0</v>
      </c>
      <c r="EP732" s="1263"/>
      <c r="EQ732" s="1263"/>
      <c r="ER732" s="1263"/>
      <c r="ES732" s="1264"/>
      <c r="ET732" s="1377">
        <f t="shared" si="33"/>
        <v>0</v>
      </c>
      <c r="EU732" s="1263"/>
      <c r="EV732" s="1263"/>
      <c r="EW732" s="1263"/>
      <c r="EX732" s="1264"/>
      <c r="EZ732" s="1414" t="str">
        <f t="shared" si="34"/>
        <v/>
      </c>
      <c r="FA732" s="1263"/>
      <c r="FB732" s="1263"/>
      <c r="FC732" s="1263"/>
      <c r="FD732" s="1264"/>
      <c r="FE732" s="1414">
        <f t="shared" si="35"/>
        <v>1230</v>
      </c>
      <c r="FF732" s="1263"/>
      <c r="FG732" s="1263"/>
      <c r="FH732" s="1263"/>
      <c r="FI732" s="1264"/>
      <c r="FJ732" s="1414" t="str">
        <f t="shared" si="36"/>
        <v/>
      </c>
      <c r="FK732" s="1263"/>
      <c r="FL732" s="1263"/>
      <c r="FM732" s="1263"/>
      <c r="FN732" s="1264"/>
      <c r="FO732" s="1414" t="str">
        <f t="shared" si="37"/>
        <v/>
      </c>
      <c r="FP732" s="1263"/>
      <c r="FQ732" s="1263"/>
      <c r="FR732" s="1263"/>
      <c r="FS732" s="1264"/>
      <c r="FT732" s="1414" t="str">
        <f t="shared" si="38"/>
        <v/>
      </c>
      <c r="FU732" s="1263"/>
      <c r="FV732" s="1263"/>
      <c r="FW732" s="1263"/>
      <c r="FX732" s="1264"/>
      <c r="FY732" s="1414" t="str">
        <f t="shared" si="39"/>
        <v/>
      </c>
      <c r="FZ732" s="1263"/>
      <c r="GA732" s="1263"/>
      <c r="GB732" s="1263"/>
      <c r="GC732" s="1264"/>
    </row>
    <row r="733" spans="1:185" ht="12.9" customHeight="1">
      <c r="B733" s="1392" t="s">
        <v>955</v>
      </c>
      <c r="C733" s="1374"/>
      <c r="D733" s="1374"/>
      <c r="E733" s="1374"/>
      <c r="F733" s="1375"/>
      <c r="G733" s="1420">
        <v>2</v>
      </c>
      <c r="H733" s="1374"/>
      <c r="I733" s="1374"/>
      <c r="J733" s="1375"/>
      <c r="K733" s="1406"/>
      <c r="L733" s="1374"/>
      <c r="M733" s="1374"/>
      <c r="N733" s="1375"/>
      <c r="O733" s="1376">
        <v>1088</v>
      </c>
      <c r="P733" s="1374"/>
      <c r="Q733" s="1374"/>
      <c r="R733" s="1374"/>
      <c r="S733" s="1375"/>
      <c r="T733" s="1376">
        <v>48</v>
      </c>
      <c r="U733" s="1374"/>
      <c r="V733" s="1374"/>
      <c r="W733" s="1375"/>
      <c r="X733" s="1424">
        <f t="shared" si="9"/>
        <v>1136</v>
      </c>
      <c r="Y733" s="1263"/>
      <c r="Z733" s="1263"/>
      <c r="AA733" s="1263"/>
      <c r="AB733" s="1264"/>
      <c r="AC733" s="1398">
        <v>0.4</v>
      </c>
      <c r="AD733" s="1374"/>
      <c r="AE733" s="1374"/>
      <c r="AF733" s="1374"/>
      <c r="AG733" s="1375"/>
      <c r="AH733" s="1441">
        <f t="shared" si="10"/>
        <v>0.4</v>
      </c>
      <c r="AI733" s="1417"/>
      <c r="AJ733" s="1423"/>
      <c r="AK733" s="1392" t="s">
        <v>935</v>
      </c>
      <c r="AL733" s="1374"/>
      <c r="AM733" s="1374"/>
      <c r="AN733" s="1374"/>
      <c r="AO733" s="1375"/>
      <c r="AP733" s="3"/>
      <c r="AQ733" s="3"/>
      <c r="AR733" s="3"/>
      <c r="AS733" s="3"/>
      <c r="AY733" s="1078"/>
      <c r="AZ733" s="118">
        <f t="shared" si="11"/>
        <v>2840</v>
      </c>
      <c r="BA733" s="3"/>
      <c r="BB733" s="3"/>
      <c r="BC733" s="3"/>
      <c r="BD733" s="3"/>
      <c r="BE733" s="204"/>
      <c r="BF733" s="294">
        <f t="shared" si="12"/>
        <v>2</v>
      </c>
      <c r="BG733" s="297">
        <f t="shared" si="13"/>
        <v>3.125E-2</v>
      </c>
      <c r="BH733" s="298">
        <f t="shared" si="14"/>
        <v>1.2500000000000001E-2</v>
      </c>
      <c r="BI733" s="3"/>
      <c r="BJ733" s="3"/>
      <c r="BK733" s="3"/>
      <c r="BL733" s="3"/>
      <c r="BM733" s="3"/>
      <c r="BN733" s="3"/>
      <c r="BS733" s="294">
        <f t="shared" si="15"/>
        <v>2</v>
      </c>
      <c r="BT733" s="297">
        <f t="shared" si="16"/>
        <v>3.125E-2</v>
      </c>
      <c r="BU733" s="298">
        <f t="shared" si="17"/>
        <v>1.2500000000000001E-2</v>
      </c>
      <c r="BV733" s="292"/>
      <c r="BW733" s="3"/>
      <c r="BX733" s="3"/>
      <c r="BY733" s="3"/>
      <c r="BZ733" s="3"/>
      <c r="CA733" s="3"/>
      <c r="CB733" s="3"/>
      <c r="CC733" s="3"/>
      <c r="CE733" s="3"/>
      <c r="CF733" s="3"/>
      <c r="CG733" s="1414">
        <f t="shared" si="18"/>
        <v>1</v>
      </c>
      <c r="CH733" s="1264"/>
      <c r="CI733" s="1381">
        <f t="shared" si="19"/>
        <v>2</v>
      </c>
      <c r="CJ733" s="1264"/>
      <c r="CK733" s="1414">
        <f t="shared" si="20"/>
        <v>0</v>
      </c>
      <c r="CL733" s="1264"/>
      <c r="CM733" s="1381">
        <f t="shared" si="21"/>
        <v>0</v>
      </c>
      <c r="CN733" s="1264"/>
      <c r="CO733" s="3"/>
      <c r="CP733" s="1379">
        <f t="shared" si="22"/>
        <v>0</v>
      </c>
      <c r="CQ733" s="1263"/>
      <c r="CR733" s="1263"/>
      <c r="CS733" s="1263"/>
      <c r="CT733" s="1264"/>
      <c r="CU733" s="1379">
        <f t="shared" si="23"/>
        <v>2</v>
      </c>
      <c r="CV733" s="1263"/>
      <c r="CW733" s="1263"/>
      <c r="CX733" s="1263"/>
      <c r="CY733" s="1264"/>
      <c r="CZ733" s="1379">
        <f t="shared" si="24"/>
        <v>0</v>
      </c>
      <c r="DA733" s="1263"/>
      <c r="DB733" s="1263"/>
      <c r="DC733" s="1263"/>
      <c r="DD733" s="1264"/>
      <c r="DE733" s="1379">
        <f t="shared" si="25"/>
        <v>0</v>
      </c>
      <c r="DF733" s="1263"/>
      <c r="DG733" s="1263"/>
      <c r="DH733" s="1263"/>
      <c r="DI733" s="1264"/>
      <c r="DJ733" s="1379">
        <f t="shared" si="26"/>
        <v>0</v>
      </c>
      <c r="DK733" s="1263"/>
      <c r="DL733" s="1263"/>
      <c r="DM733" s="1263"/>
      <c r="DN733" s="1264"/>
      <c r="DO733" s="1379">
        <f t="shared" si="27"/>
        <v>0</v>
      </c>
      <c r="DP733" s="1263"/>
      <c r="DQ733" s="1263"/>
      <c r="DR733" s="1263"/>
      <c r="DS733" s="1264"/>
      <c r="DT733" s="6"/>
      <c r="DU733" s="1377">
        <f t="shared" si="28"/>
        <v>0</v>
      </c>
      <c r="DV733" s="1263"/>
      <c r="DW733" s="1263"/>
      <c r="DX733" s="1263"/>
      <c r="DY733" s="1264"/>
      <c r="DZ733" s="1377">
        <f t="shared" si="29"/>
        <v>0</v>
      </c>
      <c r="EA733" s="1263"/>
      <c r="EB733" s="1263"/>
      <c r="EC733" s="1263"/>
      <c r="ED733" s="1264"/>
      <c r="EE733" s="1377">
        <f t="shared" si="30"/>
        <v>0</v>
      </c>
      <c r="EF733" s="1263"/>
      <c r="EG733" s="1263"/>
      <c r="EH733" s="1263"/>
      <c r="EI733" s="1264"/>
      <c r="EJ733" s="1377">
        <f t="shared" si="31"/>
        <v>0</v>
      </c>
      <c r="EK733" s="1263"/>
      <c r="EL733" s="1263"/>
      <c r="EM733" s="1263"/>
      <c r="EN733" s="1264"/>
      <c r="EO733" s="1377">
        <f t="shared" si="32"/>
        <v>0</v>
      </c>
      <c r="EP733" s="1263"/>
      <c r="EQ733" s="1263"/>
      <c r="ER733" s="1263"/>
      <c r="ES733" s="1264"/>
      <c r="ET733" s="1377">
        <f t="shared" si="33"/>
        <v>0</v>
      </c>
      <c r="EU733" s="1263"/>
      <c r="EV733" s="1263"/>
      <c r="EW733" s="1263"/>
      <c r="EX733" s="1264"/>
      <c r="EZ733" s="1414" t="str">
        <f t="shared" si="34"/>
        <v/>
      </c>
      <c r="FA733" s="1263"/>
      <c r="FB733" s="1263"/>
      <c r="FC733" s="1263"/>
      <c r="FD733" s="1264"/>
      <c r="FE733" s="1414">
        <f t="shared" si="35"/>
        <v>1088</v>
      </c>
      <c r="FF733" s="1263"/>
      <c r="FG733" s="1263"/>
      <c r="FH733" s="1263"/>
      <c r="FI733" s="1264"/>
      <c r="FJ733" s="1414" t="str">
        <f t="shared" si="36"/>
        <v/>
      </c>
      <c r="FK733" s="1263"/>
      <c r="FL733" s="1263"/>
      <c r="FM733" s="1263"/>
      <c r="FN733" s="1264"/>
      <c r="FO733" s="1414" t="str">
        <f t="shared" si="37"/>
        <v/>
      </c>
      <c r="FP733" s="1263"/>
      <c r="FQ733" s="1263"/>
      <c r="FR733" s="1263"/>
      <c r="FS733" s="1264"/>
      <c r="FT733" s="1414" t="str">
        <f t="shared" si="38"/>
        <v/>
      </c>
      <c r="FU733" s="1263"/>
      <c r="FV733" s="1263"/>
      <c r="FW733" s="1263"/>
      <c r="FX733" s="1264"/>
      <c r="FY733" s="1414" t="str">
        <f t="shared" si="39"/>
        <v/>
      </c>
      <c r="FZ733" s="1263"/>
      <c r="GA733" s="1263"/>
      <c r="GB733" s="1263"/>
      <c r="GC733" s="1264"/>
    </row>
    <row r="734" spans="1:185" ht="12.9" customHeight="1">
      <c r="B734" s="1392" t="s">
        <v>956</v>
      </c>
      <c r="C734" s="1374"/>
      <c r="D734" s="1374"/>
      <c r="E734" s="1374"/>
      <c r="F734" s="1375"/>
      <c r="G734" s="1420">
        <v>1</v>
      </c>
      <c r="H734" s="1374"/>
      <c r="I734" s="1374"/>
      <c r="J734" s="1375"/>
      <c r="K734" s="1406"/>
      <c r="L734" s="1374"/>
      <c r="M734" s="1374"/>
      <c r="N734" s="1375"/>
      <c r="O734" s="1376">
        <v>959</v>
      </c>
      <c r="P734" s="1374"/>
      <c r="Q734" s="1374"/>
      <c r="R734" s="1374"/>
      <c r="S734" s="1375"/>
      <c r="T734" s="1376">
        <v>62</v>
      </c>
      <c r="U734" s="1374"/>
      <c r="V734" s="1374"/>
      <c r="W734" s="1375"/>
      <c r="X734" s="1424">
        <f t="shared" si="9"/>
        <v>1021</v>
      </c>
      <c r="Y734" s="1263"/>
      <c r="Z734" s="1263"/>
      <c r="AA734" s="1263"/>
      <c r="AB734" s="1264"/>
      <c r="AC734" s="1398">
        <v>0.3</v>
      </c>
      <c r="AD734" s="1374"/>
      <c r="AE734" s="1374"/>
      <c r="AF734" s="1374"/>
      <c r="AG734" s="1375"/>
      <c r="AH734" s="1441">
        <f t="shared" si="10"/>
        <v>0.29976512037580738</v>
      </c>
      <c r="AI734" s="1417"/>
      <c r="AJ734" s="1423"/>
      <c r="AK734" s="1392" t="s">
        <v>935</v>
      </c>
      <c r="AL734" s="1374"/>
      <c r="AM734" s="1374"/>
      <c r="AN734" s="1374"/>
      <c r="AO734" s="1375"/>
      <c r="AP734" s="3"/>
      <c r="AQ734" s="3"/>
      <c r="AR734" s="3"/>
      <c r="AS734" s="3"/>
      <c r="AY734" s="1078"/>
      <c r="AZ734" s="118">
        <f t="shared" si="11"/>
        <v>3406</v>
      </c>
      <c r="BA734" s="3"/>
      <c r="BB734" s="3"/>
      <c r="BC734" s="3"/>
      <c r="BD734" s="3"/>
      <c r="BE734" s="204"/>
      <c r="BF734" s="294">
        <f t="shared" si="12"/>
        <v>1</v>
      </c>
      <c r="BG734" s="297">
        <f t="shared" si="13"/>
        <v>1.5625E-2</v>
      </c>
      <c r="BH734" s="298">
        <f t="shared" si="14"/>
        <v>4.6874999999999998E-3</v>
      </c>
      <c r="BI734" s="3"/>
      <c r="BJ734" s="3"/>
      <c r="BK734" s="3"/>
      <c r="BL734" s="3"/>
      <c r="BM734" s="3"/>
      <c r="BN734" s="3"/>
      <c r="BS734" s="294">
        <f t="shared" si="15"/>
        <v>1</v>
      </c>
      <c r="BT734" s="297">
        <f t="shared" si="16"/>
        <v>1.5625E-2</v>
      </c>
      <c r="BU734" s="298">
        <f t="shared" si="17"/>
        <v>4.6838300058719903E-3</v>
      </c>
      <c r="BV734" s="3"/>
      <c r="BW734" s="3"/>
      <c r="BX734" s="3"/>
      <c r="BY734" s="3"/>
      <c r="BZ734" s="3"/>
      <c r="CA734" s="3"/>
      <c r="CB734" s="3"/>
      <c r="CC734" s="3"/>
      <c r="CE734" s="3"/>
      <c r="CF734" s="3"/>
      <c r="CG734" s="1414">
        <f t="shared" si="18"/>
        <v>0</v>
      </c>
      <c r="CH734" s="1264"/>
      <c r="CI734" s="1381">
        <f t="shared" si="19"/>
        <v>0</v>
      </c>
      <c r="CJ734" s="1264"/>
      <c r="CK734" s="1414">
        <f t="shared" si="20"/>
        <v>1</v>
      </c>
      <c r="CL734" s="1264"/>
      <c r="CM734" s="1381">
        <f t="shared" si="21"/>
        <v>1</v>
      </c>
      <c r="CN734" s="1264"/>
      <c r="CO734" s="3"/>
      <c r="CP734" s="1379">
        <f t="shared" si="22"/>
        <v>0</v>
      </c>
      <c r="CQ734" s="1263"/>
      <c r="CR734" s="1263"/>
      <c r="CS734" s="1263"/>
      <c r="CT734" s="1264"/>
      <c r="CU734" s="1379">
        <f t="shared" si="23"/>
        <v>0</v>
      </c>
      <c r="CV734" s="1263"/>
      <c r="CW734" s="1263"/>
      <c r="CX734" s="1263"/>
      <c r="CY734" s="1264"/>
      <c r="CZ734" s="1379">
        <f t="shared" si="24"/>
        <v>1</v>
      </c>
      <c r="DA734" s="1263"/>
      <c r="DB734" s="1263"/>
      <c r="DC734" s="1263"/>
      <c r="DD734" s="1264"/>
      <c r="DE734" s="1379">
        <f t="shared" si="25"/>
        <v>0</v>
      </c>
      <c r="DF734" s="1263"/>
      <c r="DG734" s="1263"/>
      <c r="DH734" s="1263"/>
      <c r="DI734" s="1264"/>
      <c r="DJ734" s="1379">
        <f t="shared" si="26"/>
        <v>0</v>
      </c>
      <c r="DK734" s="1263"/>
      <c r="DL734" s="1263"/>
      <c r="DM734" s="1263"/>
      <c r="DN734" s="1264"/>
      <c r="DO734" s="1379">
        <f t="shared" si="27"/>
        <v>0</v>
      </c>
      <c r="DP734" s="1263"/>
      <c r="DQ734" s="1263"/>
      <c r="DR734" s="1263"/>
      <c r="DS734" s="1264"/>
      <c r="DT734" s="6"/>
      <c r="DU734" s="1377">
        <f t="shared" si="28"/>
        <v>0</v>
      </c>
      <c r="DV734" s="1263"/>
      <c r="DW734" s="1263"/>
      <c r="DX734" s="1263"/>
      <c r="DY734" s="1264"/>
      <c r="DZ734" s="1377">
        <f t="shared" si="29"/>
        <v>0</v>
      </c>
      <c r="EA734" s="1263"/>
      <c r="EB734" s="1263"/>
      <c r="EC734" s="1263"/>
      <c r="ED734" s="1264"/>
      <c r="EE734" s="1377">
        <f t="shared" si="30"/>
        <v>1</v>
      </c>
      <c r="EF734" s="1263"/>
      <c r="EG734" s="1263"/>
      <c r="EH734" s="1263"/>
      <c r="EI734" s="1264"/>
      <c r="EJ734" s="1377">
        <f t="shared" si="31"/>
        <v>0</v>
      </c>
      <c r="EK734" s="1263"/>
      <c r="EL734" s="1263"/>
      <c r="EM734" s="1263"/>
      <c r="EN734" s="1264"/>
      <c r="EO734" s="1377">
        <f t="shared" si="32"/>
        <v>0</v>
      </c>
      <c r="EP734" s="1263"/>
      <c r="EQ734" s="1263"/>
      <c r="ER734" s="1263"/>
      <c r="ES734" s="1264"/>
      <c r="ET734" s="1377">
        <f t="shared" si="33"/>
        <v>0</v>
      </c>
      <c r="EU734" s="1263"/>
      <c r="EV734" s="1263"/>
      <c r="EW734" s="1263"/>
      <c r="EX734" s="1264"/>
      <c r="EY734" s="4"/>
      <c r="EZ734" s="1414" t="str">
        <f t="shared" si="34"/>
        <v/>
      </c>
      <c r="FA734" s="1263"/>
      <c r="FB734" s="1263"/>
      <c r="FC734" s="1263"/>
      <c r="FD734" s="1264"/>
      <c r="FE734" s="1414" t="str">
        <f t="shared" si="35"/>
        <v/>
      </c>
      <c r="FF734" s="1263"/>
      <c r="FG734" s="1263"/>
      <c r="FH734" s="1263"/>
      <c r="FI734" s="1264"/>
      <c r="FJ734" s="1414">
        <f t="shared" si="36"/>
        <v>959</v>
      </c>
      <c r="FK734" s="1263"/>
      <c r="FL734" s="1263"/>
      <c r="FM734" s="1263"/>
      <c r="FN734" s="1264"/>
      <c r="FO734" s="1414" t="str">
        <f t="shared" si="37"/>
        <v/>
      </c>
      <c r="FP734" s="1263"/>
      <c r="FQ734" s="1263"/>
      <c r="FR734" s="1263"/>
      <c r="FS734" s="1264"/>
      <c r="FT734" s="1414" t="str">
        <f t="shared" si="38"/>
        <v/>
      </c>
      <c r="FU734" s="1263"/>
      <c r="FV734" s="1263"/>
      <c r="FW734" s="1263"/>
      <c r="FX734" s="1264"/>
      <c r="FY734" s="1414" t="str">
        <f t="shared" si="39"/>
        <v/>
      </c>
      <c r="FZ734" s="1263"/>
      <c r="GA734" s="1263"/>
      <c r="GB734" s="1263"/>
      <c r="GC734" s="1264"/>
    </row>
    <row r="735" spans="1:185" ht="12.9" customHeight="1">
      <c r="A735" s="4"/>
      <c r="B735" s="1392" t="s">
        <v>956</v>
      </c>
      <c r="C735" s="1374"/>
      <c r="D735" s="1374"/>
      <c r="E735" s="1374"/>
      <c r="F735" s="1375"/>
      <c r="G735" s="1420">
        <v>1</v>
      </c>
      <c r="H735" s="1374"/>
      <c r="I735" s="1374"/>
      <c r="J735" s="1375"/>
      <c r="K735" s="1406"/>
      <c r="L735" s="1374"/>
      <c r="M735" s="1374"/>
      <c r="N735" s="1375"/>
      <c r="O735" s="1376">
        <v>1130</v>
      </c>
      <c r="P735" s="1374"/>
      <c r="Q735" s="1374"/>
      <c r="R735" s="1374"/>
      <c r="S735" s="1375"/>
      <c r="T735" s="1376">
        <v>62</v>
      </c>
      <c r="U735" s="1374"/>
      <c r="V735" s="1374"/>
      <c r="W735" s="1375"/>
      <c r="X735" s="1424">
        <f t="shared" si="9"/>
        <v>1192</v>
      </c>
      <c r="Y735" s="1263"/>
      <c r="Z735" s="1263"/>
      <c r="AA735" s="1263"/>
      <c r="AB735" s="1264"/>
      <c r="AC735" s="1398">
        <v>0.35</v>
      </c>
      <c r="AD735" s="1374"/>
      <c r="AE735" s="1374"/>
      <c r="AF735" s="1374"/>
      <c r="AG735" s="1375"/>
      <c r="AH735" s="1441">
        <f t="shared" si="10"/>
        <v>0.34997064004697592</v>
      </c>
      <c r="AI735" s="1417"/>
      <c r="AJ735" s="1423"/>
      <c r="AK735" s="1392" t="s">
        <v>935</v>
      </c>
      <c r="AL735" s="1374"/>
      <c r="AM735" s="1374"/>
      <c r="AN735" s="1374"/>
      <c r="AO735" s="1375"/>
      <c r="AP735" s="3"/>
      <c r="AQ735" s="3"/>
      <c r="AR735" s="3"/>
      <c r="AS735" s="3"/>
      <c r="AY735" s="1078"/>
      <c r="AZ735" s="118">
        <f t="shared" si="11"/>
        <v>3406</v>
      </c>
      <c r="BA735" s="3"/>
      <c r="BB735" s="3"/>
      <c r="BC735" s="3"/>
      <c r="BD735" s="3"/>
      <c r="BE735" s="204"/>
      <c r="BF735" s="294">
        <f t="shared" si="12"/>
        <v>1</v>
      </c>
      <c r="BG735" s="297">
        <f t="shared" si="13"/>
        <v>1.5625E-2</v>
      </c>
      <c r="BH735" s="298">
        <f t="shared" si="14"/>
        <v>5.4687499999999997E-3</v>
      </c>
      <c r="BI735" s="3"/>
      <c r="BJ735" s="3"/>
      <c r="BK735" s="3"/>
      <c r="BL735" s="3"/>
      <c r="BM735" s="3"/>
      <c r="BN735" s="3"/>
      <c r="BS735" s="294">
        <f t="shared" si="15"/>
        <v>1</v>
      </c>
      <c r="BT735" s="297">
        <f t="shared" si="16"/>
        <v>1.5625E-2</v>
      </c>
      <c r="BU735" s="298">
        <f t="shared" si="17"/>
        <v>5.4682912507339988E-3</v>
      </c>
      <c r="BV735" s="3"/>
      <c r="BW735" s="3"/>
      <c r="BX735" s="3"/>
      <c r="BY735" s="3"/>
      <c r="BZ735" s="3"/>
      <c r="CA735" s="3"/>
      <c r="CB735" s="3"/>
      <c r="CC735" s="3"/>
      <c r="CE735" s="3"/>
      <c r="CF735" s="3"/>
      <c r="CG735" s="1414">
        <f t="shared" si="18"/>
        <v>0</v>
      </c>
      <c r="CH735" s="1264"/>
      <c r="CI735" s="1381">
        <f t="shared" si="19"/>
        <v>0</v>
      </c>
      <c r="CJ735" s="1264"/>
      <c r="CK735" s="1414">
        <f t="shared" si="20"/>
        <v>1</v>
      </c>
      <c r="CL735" s="1264"/>
      <c r="CM735" s="1381">
        <f t="shared" si="21"/>
        <v>1</v>
      </c>
      <c r="CN735" s="1264"/>
      <c r="CO735" s="3"/>
      <c r="CP735" s="1379">
        <f t="shared" si="22"/>
        <v>0</v>
      </c>
      <c r="CQ735" s="1263"/>
      <c r="CR735" s="1263"/>
      <c r="CS735" s="1263"/>
      <c r="CT735" s="1264"/>
      <c r="CU735" s="1379">
        <f t="shared" si="23"/>
        <v>0</v>
      </c>
      <c r="CV735" s="1263"/>
      <c r="CW735" s="1263"/>
      <c r="CX735" s="1263"/>
      <c r="CY735" s="1264"/>
      <c r="CZ735" s="1379">
        <f t="shared" si="24"/>
        <v>1</v>
      </c>
      <c r="DA735" s="1263"/>
      <c r="DB735" s="1263"/>
      <c r="DC735" s="1263"/>
      <c r="DD735" s="1264"/>
      <c r="DE735" s="1379">
        <f t="shared" si="25"/>
        <v>0</v>
      </c>
      <c r="DF735" s="1263"/>
      <c r="DG735" s="1263"/>
      <c r="DH735" s="1263"/>
      <c r="DI735" s="1264"/>
      <c r="DJ735" s="1379">
        <f t="shared" si="26"/>
        <v>0</v>
      </c>
      <c r="DK735" s="1263"/>
      <c r="DL735" s="1263"/>
      <c r="DM735" s="1263"/>
      <c r="DN735" s="1264"/>
      <c r="DO735" s="1379">
        <f t="shared" si="27"/>
        <v>0</v>
      </c>
      <c r="DP735" s="1263"/>
      <c r="DQ735" s="1263"/>
      <c r="DR735" s="1263"/>
      <c r="DS735" s="1264"/>
      <c r="DT735" s="6"/>
      <c r="DU735" s="1377">
        <f t="shared" si="28"/>
        <v>0</v>
      </c>
      <c r="DV735" s="1263"/>
      <c r="DW735" s="1263"/>
      <c r="DX735" s="1263"/>
      <c r="DY735" s="1264"/>
      <c r="DZ735" s="1377">
        <f t="shared" si="29"/>
        <v>0</v>
      </c>
      <c r="EA735" s="1263"/>
      <c r="EB735" s="1263"/>
      <c r="EC735" s="1263"/>
      <c r="ED735" s="1264"/>
      <c r="EE735" s="1377">
        <f t="shared" si="30"/>
        <v>0</v>
      </c>
      <c r="EF735" s="1263"/>
      <c r="EG735" s="1263"/>
      <c r="EH735" s="1263"/>
      <c r="EI735" s="1264"/>
      <c r="EJ735" s="1377">
        <f t="shared" si="31"/>
        <v>0</v>
      </c>
      <c r="EK735" s="1263"/>
      <c r="EL735" s="1263"/>
      <c r="EM735" s="1263"/>
      <c r="EN735" s="1264"/>
      <c r="EO735" s="1377">
        <f t="shared" si="32"/>
        <v>0</v>
      </c>
      <c r="EP735" s="1263"/>
      <c r="EQ735" s="1263"/>
      <c r="ER735" s="1263"/>
      <c r="ES735" s="1264"/>
      <c r="ET735" s="1377">
        <f t="shared" si="33"/>
        <v>0</v>
      </c>
      <c r="EU735" s="1263"/>
      <c r="EV735" s="1263"/>
      <c r="EW735" s="1263"/>
      <c r="EX735" s="1264"/>
      <c r="EY735" s="4"/>
      <c r="EZ735" s="1414" t="str">
        <f t="shared" si="34"/>
        <v/>
      </c>
      <c r="FA735" s="1263"/>
      <c r="FB735" s="1263"/>
      <c r="FC735" s="1263"/>
      <c r="FD735" s="1264"/>
      <c r="FE735" s="1414" t="str">
        <f t="shared" si="35"/>
        <v/>
      </c>
      <c r="FF735" s="1263"/>
      <c r="FG735" s="1263"/>
      <c r="FH735" s="1263"/>
      <c r="FI735" s="1264"/>
      <c r="FJ735" s="1414">
        <f t="shared" si="36"/>
        <v>1130</v>
      </c>
      <c r="FK735" s="1263"/>
      <c r="FL735" s="1263"/>
      <c r="FM735" s="1263"/>
      <c r="FN735" s="1264"/>
      <c r="FO735" s="1414" t="str">
        <f t="shared" si="37"/>
        <v/>
      </c>
      <c r="FP735" s="1263"/>
      <c r="FQ735" s="1263"/>
      <c r="FR735" s="1263"/>
      <c r="FS735" s="1264"/>
      <c r="FT735" s="1414" t="str">
        <f t="shared" si="38"/>
        <v/>
      </c>
      <c r="FU735" s="1263"/>
      <c r="FV735" s="1263"/>
      <c r="FW735" s="1263"/>
      <c r="FX735" s="1264"/>
      <c r="FY735" s="1414" t="str">
        <f t="shared" si="39"/>
        <v/>
      </c>
      <c r="FZ735" s="1263"/>
      <c r="GA735" s="1263"/>
      <c r="GB735" s="1263"/>
      <c r="GC735" s="1264"/>
    </row>
    <row r="736" spans="1:185" ht="12.9" customHeight="1">
      <c r="A736" s="4"/>
      <c r="B736" s="1392" t="s">
        <v>956</v>
      </c>
      <c r="C736" s="1374"/>
      <c r="D736" s="1374"/>
      <c r="E736" s="1374"/>
      <c r="F736" s="1375"/>
      <c r="G736" s="1420">
        <v>1</v>
      </c>
      <c r="H736" s="1374"/>
      <c r="I736" s="1374"/>
      <c r="J736" s="1375"/>
      <c r="K736" s="1406"/>
      <c r="L736" s="1374"/>
      <c r="M736" s="1374"/>
      <c r="N736" s="1375"/>
      <c r="O736" s="1376">
        <v>959</v>
      </c>
      <c r="P736" s="1374"/>
      <c r="Q736" s="1374"/>
      <c r="R736" s="1374"/>
      <c r="S736" s="1375"/>
      <c r="T736" s="1376">
        <v>62</v>
      </c>
      <c r="U736" s="1374"/>
      <c r="V736" s="1374"/>
      <c r="W736" s="1375"/>
      <c r="X736" s="1424">
        <f t="shared" si="9"/>
        <v>1021</v>
      </c>
      <c r="Y736" s="1263"/>
      <c r="Z736" s="1263"/>
      <c r="AA736" s="1263"/>
      <c r="AB736" s="1264"/>
      <c r="AC736" s="1398">
        <v>0.3</v>
      </c>
      <c r="AD736" s="1374"/>
      <c r="AE736" s="1374"/>
      <c r="AF736" s="1374"/>
      <c r="AG736" s="1375"/>
      <c r="AH736" s="1441">
        <f t="shared" si="10"/>
        <v>0.29976512037580738</v>
      </c>
      <c r="AI736" s="1417"/>
      <c r="AJ736" s="1423"/>
      <c r="AK736" s="1392" t="s">
        <v>935</v>
      </c>
      <c r="AL736" s="1374"/>
      <c r="AM736" s="1374"/>
      <c r="AN736" s="1374"/>
      <c r="AO736" s="1375"/>
      <c r="AP736" s="3"/>
      <c r="AQ736" s="3"/>
      <c r="AR736" s="3"/>
      <c r="AS736" s="3"/>
      <c r="AY736" s="1078"/>
      <c r="AZ736" s="118">
        <f t="shared" si="11"/>
        <v>3406</v>
      </c>
      <c r="BA736" s="3"/>
      <c r="BB736" s="3"/>
      <c r="BC736" s="3"/>
      <c r="BD736" s="3"/>
      <c r="BE736" s="204"/>
      <c r="BF736" s="294">
        <f t="shared" si="12"/>
        <v>1</v>
      </c>
      <c r="BG736" s="297">
        <f t="shared" si="13"/>
        <v>1.5625E-2</v>
      </c>
      <c r="BH736" s="298">
        <f t="shared" si="14"/>
        <v>4.6874999999999998E-3</v>
      </c>
      <c r="BI736" s="3"/>
      <c r="BJ736" s="3"/>
      <c r="BK736" s="3"/>
      <c r="BL736" s="3"/>
      <c r="BM736" s="3"/>
      <c r="BN736" s="3"/>
      <c r="BS736" s="294">
        <f t="shared" si="15"/>
        <v>1</v>
      </c>
      <c r="BT736" s="297">
        <f t="shared" si="16"/>
        <v>1.5625E-2</v>
      </c>
      <c r="BU736" s="298">
        <f t="shared" si="17"/>
        <v>4.6838300058719903E-3</v>
      </c>
      <c r="BV736" s="3"/>
      <c r="BW736" s="3"/>
      <c r="BX736" s="3"/>
      <c r="BY736" s="3"/>
      <c r="BZ736" s="3"/>
      <c r="CA736" s="3"/>
      <c r="CB736" s="3"/>
      <c r="CC736" s="3"/>
      <c r="CE736" s="3"/>
      <c r="CF736" s="3"/>
      <c r="CG736" s="1414">
        <f t="shared" si="18"/>
        <v>0</v>
      </c>
      <c r="CH736" s="1264"/>
      <c r="CI736" s="1381">
        <f t="shared" si="19"/>
        <v>0</v>
      </c>
      <c r="CJ736" s="1264"/>
      <c r="CK736" s="1414">
        <f t="shared" si="20"/>
        <v>1</v>
      </c>
      <c r="CL736" s="1264"/>
      <c r="CM736" s="1381">
        <f t="shared" si="21"/>
        <v>1</v>
      </c>
      <c r="CN736" s="1264"/>
      <c r="CO736" s="3"/>
      <c r="CP736" s="1379">
        <f t="shared" si="22"/>
        <v>0</v>
      </c>
      <c r="CQ736" s="1263"/>
      <c r="CR736" s="1263"/>
      <c r="CS736" s="1263"/>
      <c r="CT736" s="1264"/>
      <c r="CU736" s="1379">
        <f t="shared" si="23"/>
        <v>0</v>
      </c>
      <c r="CV736" s="1263"/>
      <c r="CW736" s="1263"/>
      <c r="CX736" s="1263"/>
      <c r="CY736" s="1264"/>
      <c r="CZ736" s="1379">
        <f t="shared" si="24"/>
        <v>1</v>
      </c>
      <c r="DA736" s="1263"/>
      <c r="DB736" s="1263"/>
      <c r="DC736" s="1263"/>
      <c r="DD736" s="1264"/>
      <c r="DE736" s="1379">
        <f t="shared" si="25"/>
        <v>0</v>
      </c>
      <c r="DF736" s="1263"/>
      <c r="DG736" s="1263"/>
      <c r="DH736" s="1263"/>
      <c r="DI736" s="1264"/>
      <c r="DJ736" s="1379">
        <f t="shared" si="26"/>
        <v>0</v>
      </c>
      <c r="DK736" s="1263"/>
      <c r="DL736" s="1263"/>
      <c r="DM736" s="1263"/>
      <c r="DN736" s="1264"/>
      <c r="DO736" s="1379">
        <f t="shared" si="27"/>
        <v>0</v>
      </c>
      <c r="DP736" s="1263"/>
      <c r="DQ736" s="1263"/>
      <c r="DR736" s="1263"/>
      <c r="DS736" s="1264"/>
      <c r="DT736" s="6"/>
      <c r="DU736" s="1377">
        <f t="shared" si="28"/>
        <v>0</v>
      </c>
      <c r="DV736" s="1263"/>
      <c r="DW736" s="1263"/>
      <c r="DX736" s="1263"/>
      <c r="DY736" s="1264"/>
      <c r="DZ736" s="1377">
        <f t="shared" si="29"/>
        <v>0</v>
      </c>
      <c r="EA736" s="1263"/>
      <c r="EB736" s="1263"/>
      <c r="EC736" s="1263"/>
      <c r="ED736" s="1264"/>
      <c r="EE736" s="1377">
        <f t="shared" si="30"/>
        <v>1</v>
      </c>
      <c r="EF736" s="1263"/>
      <c r="EG736" s="1263"/>
      <c r="EH736" s="1263"/>
      <c r="EI736" s="1264"/>
      <c r="EJ736" s="1377">
        <f t="shared" si="31"/>
        <v>0</v>
      </c>
      <c r="EK736" s="1263"/>
      <c r="EL736" s="1263"/>
      <c r="EM736" s="1263"/>
      <c r="EN736" s="1264"/>
      <c r="EO736" s="1377">
        <f t="shared" si="32"/>
        <v>0</v>
      </c>
      <c r="EP736" s="1263"/>
      <c r="EQ736" s="1263"/>
      <c r="ER736" s="1263"/>
      <c r="ES736" s="1264"/>
      <c r="ET736" s="1377">
        <f t="shared" si="33"/>
        <v>0</v>
      </c>
      <c r="EU736" s="1263"/>
      <c r="EV736" s="1263"/>
      <c r="EW736" s="1263"/>
      <c r="EX736" s="1264"/>
      <c r="EY736" s="4"/>
      <c r="EZ736" s="1414" t="str">
        <f t="shared" si="34"/>
        <v/>
      </c>
      <c r="FA736" s="1263"/>
      <c r="FB736" s="1263"/>
      <c r="FC736" s="1263"/>
      <c r="FD736" s="1264"/>
      <c r="FE736" s="1414" t="str">
        <f t="shared" si="35"/>
        <v/>
      </c>
      <c r="FF736" s="1263"/>
      <c r="FG736" s="1263"/>
      <c r="FH736" s="1263"/>
      <c r="FI736" s="1264"/>
      <c r="FJ736" s="1414">
        <f t="shared" si="36"/>
        <v>959</v>
      </c>
      <c r="FK736" s="1263"/>
      <c r="FL736" s="1263"/>
      <c r="FM736" s="1263"/>
      <c r="FN736" s="1264"/>
      <c r="FO736" s="1414" t="str">
        <f t="shared" si="37"/>
        <v/>
      </c>
      <c r="FP736" s="1263"/>
      <c r="FQ736" s="1263"/>
      <c r="FR736" s="1263"/>
      <c r="FS736" s="1264"/>
      <c r="FT736" s="1414" t="str">
        <f t="shared" si="38"/>
        <v/>
      </c>
      <c r="FU736" s="1263"/>
      <c r="FV736" s="1263"/>
      <c r="FW736" s="1263"/>
      <c r="FX736" s="1264"/>
      <c r="FY736" s="1414" t="str">
        <f t="shared" si="39"/>
        <v/>
      </c>
      <c r="FZ736" s="1263"/>
      <c r="GA736" s="1263"/>
      <c r="GB736" s="1263"/>
      <c r="GC736" s="1264"/>
    </row>
    <row r="737" spans="1:185" ht="12.9" customHeight="1">
      <c r="A737" s="4"/>
      <c r="B737" s="1392" t="s">
        <v>956</v>
      </c>
      <c r="C737" s="1374"/>
      <c r="D737" s="1374"/>
      <c r="E737" s="1374"/>
      <c r="F737" s="1375"/>
      <c r="G737" s="1420">
        <v>7</v>
      </c>
      <c r="H737" s="1374"/>
      <c r="I737" s="1374"/>
      <c r="J737" s="1375"/>
      <c r="K737" s="1406"/>
      <c r="L737" s="1374"/>
      <c r="M737" s="1374"/>
      <c r="N737" s="1375"/>
      <c r="O737" s="1376">
        <v>1300</v>
      </c>
      <c r="P737" s="1374"/>
      <c r="Q737" s="1374"/>
      <c r="R737" s="1374"/>
      <c r="S737" s="1375"/>
      <c r="T737" s="1376">
        <v>62</v>
      </c>
      <c r="U737" s="1374"/>
      <c r="V737" s="1374"/>
      <c r="W737" s="1375"/>
      <c r="X737" s="1424">
        <f t="shared" si="9"/>
        <v>1362</v>
      </c>
      <c r="Y737" s="1263"/>
      <c r="Z737" s="1263"/>
      <c r="AA737" s="1263"/>
      <c r="AB737" s="1264"/>
      <c r="AC737" s="1398">
        <v>0.4</v>
      </c>
      <c r="AD737" s="1374"/>
      <c r="AE737" s="1374"/>
      <c r="AF737" s="1374"/>
      <c r="AG737" s="1375"/>
      <c r="AH737" s="1441">
        <f t="shared" si="10"/>
        <v>0.39988256018790369</v>
      </c>
      <c r="AI737" s="1417"/>
      <c r="AJ737" s="1423"/>
      <c r="AK737" s="1392" t="s">
        <v>935</v>
      </c>
      <c r="AL737" s="1374"/>
      <c r="AM737" s="1374"/>
      <c r="AN737" s="1374"/>
      <c r="AO737" s="1375"/>
      <c r="AP737" s="3"/>
      <c r="AQ737" s="3"/>
      <c r="AR737" s="3"/>
      <c r="AS737" s="3"/>
      <c r="AY737" s="1078"/>
      <c r="AZ737" s="118">
        <f t="shared" si="11"/>
        <v>3406</v>
      </c>
      <c r="BA737" s="3"/>
      <c r="BB737" s="3"/>
      <c r="BC737" s="3"/>
      <c r="BD737" s="3"/>
      <c r="BE737" s="204"/>
      <c r="BF737" s="294">
        <f t="shared" si="12"/>
        <v>7</v>
      </c>
      <c r="BG737" s="297">
        <f t="shared" si="13"/>
        <v>0.109375</v>
      </c>
      <c r="BH737" s="298">
        <f t="shared" si="14"/>
        <v>4.3750000000000004E-2</v>
      </c>
      <c r="BI737" s="3"/>
      <c r="BJ737" s="3"/>
      <c r="BK737" s="3"/>
      <c r="BL737" s="3"/>
      <c r="BM737" s="3"/>
      <c r="BN737" s="3"/>
      <c r="BS737" s="294">
        <f t="shared" si="15"/>
        <v>7</v>
      </c>
      <c r="BT737" s="297">
        <f t="shared" si="16"/>
        <v>0.109375</v>
      </c>
      <c r="BU737" s="298">
        <f t="shared" si="17"/>
        <v>4.3737155020551963E-2</v>
      </c>
      <c r="BV737" s="3"/>
      <c r="BW737" s="3"/>
      <c r="BX737" s="3"/>
      <c r="BY737" s="3"/>
      <c r="BZ737" s="3"/>
      <c r="CA737" s="3"/>
      <c r="CB737" s="3"/>
      <c r="CC737" s="3"/>
      <c r="CE737" s="3"/>
      <c r="CF737" s="3"/>
      <c r="CG737" s="1414">
        <f t="shared" si="18"/>
        <v>1</v>
      </c>
      <c r="CH737" s="1264"/>
      <c r="CI737" s="1381">
        <f t="shared" si="19"/>
        <v>7</v>
      </c>
      <c r="CJ737" s="1264"/>
      <c r="CK737" s="1414">
        <f t="shared" si="20"/>
        <v>0</v>
      </c>
      <c r="CL737" s="1264"/>
      <c r="CM737" s="1381">
        <f t="shared" si="21"/>
        <v>0</v>
      </c>
      <c r="CN737" s="1264"/>
      <c r="CO737" s="3"/>
      <c r="CP737" s="1379">
        <f t="shared" si="22"/>
        <v>0</v>
      </c>
      <c r="CQ737" s="1263"/>
      <c r="CR737" s="1263"/>
      <c r="CS737" s="1263"/>
      <c r="CT737" s="1264"/>
      <c r="CU737" s="1379">
        <f t="shared" si="23"/>
        <v>0</v>
      </c>
      <c r="CV737" s="1263"/>
      <c r="CW737" s="1263"/>
      <c r="CX737" s="1263"/>
      <c r="CY737" s="1264"/>
      <c r="CZ737" s="1379">
        <f t="shared" si="24"/>
        <v>7</v>
      </c>
      <c r="DA737" s="1263"/>
      <c r="DB737" s="1263"/>
      <c r="DC737" s="1263"/>
      <c r="DD737" s="1264"/>
      <c r="DE737" s="1379">
        <f t="shared" si="25"/>
        <v>0</v>
      </c>
      <c r="DF737" s="1263"/>
      <c r="DG737" s="1263"/>
      <c r="DH737" s="1263"/>
      <c r="DI737" s="1264"/>
      <c r="DJ737" s="1379">
        <f t="shared" si="26"/>
        <v>0</v>
      </c>
      <c r="DK737" s="1263"/>
      <c r="DL737" s="1263"/>
      <c r="DM737" s="1263"/>
      <c r="DN737" s="1264"/>
      <c r="DO737" s="1379">
        <f t="shared" si="27"/>
        <v>0</v>
      </c>
      <c r="DP737" s="1263"/>
      <c r="DQ737" s="1263"/>
      <c r="DR737" s="1263"/>
      <c r="DS737" s="1264"/>
      <c r="DT737" s="6"/>
      <c r="DU737" s="1377">
        <f t="shared" si="28"/>
        <v>0</v>
      </c>
      <c r="DV737" s="1263"/>
      <c r="DW737" s="1263"/>
      <c r="DX737" s="1263"/>
      <c r="DY737" s="1264"/>
      <c r="DZ737" s="1377">
        <f t="shared" si="29"/>
        <v>0</v>
      </c>
      <c r="EA737" s="1263"/>
      <c r="EB737" s="1263"/>
      <c r="EC737" s="1263"/>
      <c r="ED737" s="1264"/>
      <c r="EE737" s="1377">
        <f t="shared" si="30"/>
        <v>0</v>
      </c>
      <c r="EF737" s="1263"/>
      <c r="EG737" s="1263"/>
      <c r="EH737" s="1263"/>
      <c r="EI737" s="1264"/>
      <c r="EJ737" s="1377">
        <f t="shared" si="31"/>
        <v>0</v>
      </c>
      <c r="EK737" s="1263"/>
      <c r="EL737" s="1263"/>
      <c r="EM737" s="1263"/>
      <c r="EN737" s="1264"/>
      <c r="EO737" s="1377">
        <f t="shared" si="32"/>
        <v>0</v>
      </c>
      <c r="EP737" s="1263"/>
      <c r="EQ737" s="1263"/>
      <c r="ER737" s="1263"/>
      <c r="ES737" s="1264"/>
      <c r="ET737" s="1377">
        <f t="shared" si="33"/>
        <v>0</v>
      </c>
      <c r="EU737" s="1263"/>
      <c r="EV737" s="1263"/>
      <c r="EW737" s="1263"/>
      <c r="EX737" s="1264"/>
      <c r="EZ737" s="1414" t="str">
        <f t="shared" si="34"/>
        <v/>
      </c>
      <c r="FA737" s="1263"/>
      <c r="FB737" s="1263"/>
      <c r="FC737" s="1263"/>
      <c r="FD737" s="1264"/>
      <c r="FE737" s="1414" t="str">
        <f t="shared" si="35"/>
        <v/>
      </c>
      <c r="FF737" s="1263"/>
      <c r="FG737" s="1263"/>
      <c r="FH737" s="1263"/>
      <c r="FI737" s="1264"/>
      <c r="FJ737" s="1414">
        <f t="shared" si="36"/>
        <v>1300</v>
      </c>
      <c r="FK737" s="1263"/>
      <c r="FL737" s="1263"/>
      <c r="FM737" s="1263"/>
      <c r="FN737" s="1264"/>
      <c r="FO737" s="1414" t="str">
        <f t="shared" si="37"/>
        <v/>
      </c>
      <c r="FP737" s="1263"/>
      <c r="FQ737" s="1263"/>
      <c r="FR737" s="1263"/>
      <c r="FS737" s="1264"/>
      <c r="FT737" s="1414" t="str">
        <f t="shared" si="38"/>
        <v/>
      </c>
      <c r="FU737" s="1263"/>
      <c r="FV737" s="1263"/>
      <c r="FW737" s="1263"/>
      <c r="FX737" s="1264"/>
      <c r="FY737" s="1414" t="str">
        <f t="shared" si="39"/>
        <v/>
      </c>
      <c r="FZ737" s="1263"/>
      <c r="GA737" s="1263"/>
      <c r="GB737" s="1263"/>
      <c r="GC737" s="1264"/>
    </row>
    <row r="738" spans="1:185" ht="12.9" customHeight="1">
      <c r="B738" s="1392" t="s">
        <v>956</v>
      </c>
      <c r="C738" s="1374"/>
      <c r="D738" s="1374"/>
      <c r="E738" s="1374"/>
      <c r="F738" s="1375"/>
      <c r="G738" s="1420">
        <v>3</v>
      </c>
      <c r="H738" s="1374"/>
      <c r="I738" s="1374"/>
      <c r="J738" s="1375"/>
      <c r="K738" s="1406"/>
      <c r="L738" s="1374"/>
      <c r="M738" s="1374"/>
      <c r="N738" s="1375"/>
      <c r="O738" s="1376">
        <v>1641</v>
      </c>
      <c r="P738" s="1374"/>
      <c r="Q738" s="1374"/>
      <c r="R738" s="1374"/>
      <c r="S738" s="1375"/>
      <c r="T738" s="1376">
        <v>62</v>
      </c>
      <c r="U738" s="1374"/>
      <c r="V738" s="1374"/>
      <c r="W738" s="1375"/>
      <c r="X738" s="1424">
        <f t="shared" si="9"/>
        <v>1703</v>
      </c>
      <c r="Y738" s="1263"/>
      <c r="Z738" s="1263"/>
      <c r="AA738" s="1263"/>
      <c r="AB738" s="1264"/>
      <c r="AC738" s="1398">
        <v>0.5</v>
      </c>
      <c r="AD738" s="1374"/>
      <c r="AE738" s="1374"/>
      <c r="AF738" s="1374"/>
      <c r="AG738" s="1375"/>
      <c r="AH738" s="1441">
        <f t="shared" si="10"/>
        <v>0.5</v>
      </c>
      <c r="AI738" s="1417"/>
      <c r="AJ738" s="1423"/>
      <c r="AK738" s="1392" t="s">
        <v>935</v>
      </c>
      <c r="AL738" s="1374"/>
      <c r="AM738" s="1374"/>
      <c r="AN738" s="1374"/>
      <c r="AO738" s="1375"/>
      <c r="AP738" s="3"/>
      <c r="AQ738" s="3"/>
      <c r="AR738" s="3"/>
      <c r="AS738" s="3"/>
      <c r="AY738" s="1078"/>
      <c r="AZ738" s="118">
        <f t="shared" si="11"/>
        <v>3406</v>
      </c>
      <c r="BA738" s="3"/>
      <c r="BB738" s="3"/>
      <c r="BC738" s="3"/>
      <c r="BD738" s="3"/>
      <c r="BE738" s="204"/>
      <c r="BF738" s="294">
        <f t="shared" si="12"/>
        <v>3</v>
      </c>
      <c r="BG738" s="297">
        <f t="shared" si="13"/>
        <v>4.6875E-2</v>
      </c>
      <c r="BH738" s="298">
        <f t="shared" si="14"/>
        <v>2.34375E-2</v>
      </c>
      <c r="BI738" s="3"/>
      <c r="BJ738" s="3"/>
      <c r="BK738" s="3"/>
      <c r="BL738" s="3"/>
      <c r="BM738" s="3"/>
      <c r="BN738" s="3"/>
      <c r="BS738" s="294">
        <f t="shared" si="15"/>
        <v>3</v>
      </c>
      <c r="BT738" s="297">
        <f t="shared" si="16"/>
        <v>4.6875E-2</v>
      </c>
      <c r="BU738" s="298">
        <f t="shared" si="17"/>
        <v>2.34375E-2</v>
      </c>
      <c r="BV738" s="3"/>
      <c r="BW738" s="3"/>
      <c r="BX738" s="3"/>
      <c r="BY738" s="3"/>
      <c r="BZ738" s="3"/>
      <c r="CA738" s="3"/>
      <c r="CB738" s="3"/>
      <c r="CC738" s="3"/>
      <c r="CE738" s="3"/>
      <c r="CF738" s="3"/>
      <c r="CG738" s="1414">
        <f t="shared" si="18"/>
        <v>1</v>
      </c>
      <c r="CH738" s="1264"/>
      <c r="CI738" s="1381">
        <f t="shared" si="19"/>
        <v>3</v>
      </c>
      <c r="CJ738" s="1264"/>
      <c r="CK738" s="1414">
        <f t="shared" si="20"/>
        <v>0</v>
      </c>
      <c r="CL738" s="1264"/>
      <c r="CM738" s="1381">
        <f t="shared" si="21"/>
        <v>0</v>
      </c>
      <c r="CN738" s="1264"/>
      <c r="CO738" s="3"/>
      <c r="CP738" s="1379">
        <f t="shared" si="22"/>
        <v>0</v>
      </c>
      <c r="CQ738" s="1263"/>
      <c r="CR738" s="1263"/>
      <c r="CS738" s="1263"/>
      <c r="CT738" s="1264"/>
      <c r="CU738" s="1379">
        <f t="shared" si="23"/>
        <v>0</v>
      </c>
      <c r="CV738" s="1263"/>
      <c r="CW738" s="1263"/>
      <c r="CX738" s="1263"/>
      <c r="CY738" s="1264"/>
      <c r="CZ738" s="1379">
        <f t="shared" si="24"/>
        <v>3</v>
      </c>
      <c r="DA738" s="1263"/>
      <c r="DB738" s="1263"/>
      <c r="DC738" s="1263"/>
      <c r="DD738" s="1264"/>
      <c r="DE738" s="1379">
        <f t="shared" si="25"/>
        <v>0</v>
      </c>
      <c r="DF738" s="1263"/>
      <c r="DG738" s="1263"/>
      <c r="DH738" s="1263"/>
      <c r="DI738" s="1264"/>
      <c r="DJ738" s="1379">
        <f t="shared" si="26"/>
        <v>0</v>
      </c>
      <c r="DK738" s="1263"/>
      <c r="DL738" s="1263"/>
      <c r="DM738" s="1263"/>
      <c r="DN738" s="1264"/>
      <c r="DO738" s="1379">
        <f t="shared" si="27"/>
        <v>0</v>
      </c>
      <c r="DP738" s="1263"/>
      <c r="DQ738" s="1263"/>
      <c r="DR738" s="1263"/>
      <c r="DS738" s="1264"/>
      <c r="DT738" s="6"/>
      <c r="DU738" s="1377">
        <f t="shared" si="28"/>
        <v>0</v>
      </c>
      <c r="DV738" s="1263"/>
      <c r="DW738" s="1263"/>
      <c r="DX738" s="1263"/>
      <c r="DY738" s="1264"/>
      <c r="DZ738" s="1377">
        <f t="shared" si="29"/>
        <v>0</v>
      </c>
      <c r="EA738" s="1263"/>
      <c r="EB738" s="1263"/>
      <c r="EC738" s="1263"/>
      <c r="ED738" s="1264"/>
      <c r="EE738" s="1377">
        <f t="shared" si="30"/>
        <v>0</v>
      </c>
      <c r="EF738" s="1263"/>
      <c r="EG738" s="1263"/>
      <c r="EH738" s="1263"/>
      <c r="EI738" s="1264"/>
      <c r="EJ738" s="1377">
        <f t="shared" si="31"/>
        <v>0</v>
      </c>
      <c r="EK738" s="1263"/>
      <c r="EL738" s="1263"/>
      <c r="EM738" s="1263"/>
      <c r="EN738" s="1264"/>
      <c r="EO738" s="1377">
        <f t="shared" si="32"/>
        <v>0</v>
      </c>
      <c r="EP738" s="1263"/>
      <c r="EQ738" s="1263"/>
      <c r="ER738" s="1263"/>
      <c r="ES738" s="1264"/>
      <c r="ET738" s="1377">
        <f t="shared" si="33"/>
        <v>0</v>
      </c>
      <c r="EU738" s="1263"/>
      <c r="EV738" s="1263"/>
      <c r="EW738" s="1263"/>
      <c r="EX738" s="1264"/>
      <c r="EZ738" s="1414" t="str">
        <f t="shared" si="34"/>
        <v/>
      </c>
      <c r="FA738" s="1263"/>
      <c r="FB738" s="1263"/>
      <c r="FC738" s="1263"/>
      <c r="FD738" s="1264"/>
      <c r="FE738" s="1414" t="str">
        <f t="shared" si="35"/>
        <v/>
      </c>
      <c r="FF738" s="1263"/>
      <c r="FG738" s="1263"/>
      <c r="FH738" s="1263"/>
      <c r="FI738" s="1264"/>
      <c r="FJ738" s="1414">
        <f t="shared" si="36"/>
        <v>1641</v>
      </c>
      <c r="FK738" s="1263"/>
      <c r="FL738" s="1263"/>
      <c r="FM738" s="1263"/>
      <c r="FN738" s="1264"/>
      <c r="FO738" s="1414" t="str">
        <f t="shared" si="37"/>
        <v/>
      </c>
      <c r="FP738" s="1263"/>
      <c r="FQ738" s="1263"/>
      <c r="FR738" s="1263"/>
      <c r="FS738" s="1264"/>
      <c r="FT738" s="1414" t="str">
        <f t="shared" si="38"/>
        <v/>
      </c>
      <c r="FU738" s="1263"/>
      <c r="FV738" s="1263"/>
      <c r="FW738" s="1263"/>
      <c r="FX738" s="1264"/>
      <c r="FY738" s="1414" t="str">
        <f t="shared" si="39"/>
        <v/>
      </c>
      <c r="FZ738" s="1263"/>
      <c r="GA738" s="1263"/>
      <c r="GB738" s="1263"/>
      <c r="GC738" s="1264"/>
    </row>
    <row r="739" spans="1:185" ht="12.9" customHeight="1">
      <c r="B739" s="1392" t="s">
        <v>956</v>
      </c>
      <c r="C739" s="1374"/>
      <c r="D739" s="1374"/>
      <c r="E739" s="1374"/>
      <c r="F739" s="1375"/>
      <c r="G739" s="1420">
        <v>5</v>
      </c>
      <c r="H739" s="1374"/>
      <c r="I739" s="1374"/>
      <c r="J739" s="1375"/>
      <c r="K739" s="1406"/>
      <c r="L739" s="1374"/>
      <c r="M739" s="1374"/>
      <c r="N739" s="1375"/>
      <c r="O739" s="1376">
        <v>1981</v>
      </c>
      <c r="P739" s="1374"/>
      <c r="Q739" s="1374"/>
      <c r="R739" s="1374"/>
      <c r="S739" s="1375"/>
      <c r="T739" s="1376">
        <v>62</v>
      </c>
      <c r="U739" s="1374"/>
      <c r="V739" s="1374"/>
      <c r="W739" s="1375"/>
      <c r="X739" s="1424">
        <f t="shared" si="9"/>
        <v>2043</v>
      </c>
      <c r="Y739" s="1263"/>
      <c r="Z739" s="1263"/>
      <c r="AA739" s="1263"/>
      <c r="AB739" s="1264"/>
      <c r="AC739" s="1398">
        <v>0.6</v>
      </c>
      <c r="AD739" s="1374"/>
      <c r="AE739" s="1374"/>
      <c r="AF739" s="1374"/>
      <c r="AG739" s="1375"/>
      <c r="AH739" s="1441">
        <f t="shared" si="10"/>
        <v>0.59982384028185554</v>
      </c>
      <c r="AI739" s="1417"/>
      <c r="AJ739" s="1423"/>
      <c r="AK739" s="1392" t="s">
        <v>935</v>
      </c>
      <c r="AL739" s="1374"/>
      <c r="AM739" s="1374"/>
      <c r="AN739" s="1374"/>
      <c r="AO739" s="1375"/>
      <c r="AP739" s="3"/>
      <c r="AQ739" s="3"/>
      <c r="AR739" s="3"/>
      <c r="AS739" s="3"/>
      <c r="AY739" s="1078"/>
      <c r="AZ739" s="118">
        <f t="shared" si="11"/>
        <v>3406</v>
      </c>
      <c r="BA739" s="3"/>
      <c r="BB739" s="3"/>
      <c r="BC739" s="3"/>
      <c r="BD739" s="3"/>
      <c r="BE739" s="204"/>
      <c r="BF739" s="294">
        <f t="shared" si="12"/>
        <v>5</v>
      </c>
      <c r="BG739" s="297">
        <f t="shared" si="13"/>
        <v>7.8125E-2</v>
      </c>
      <c r="BH739" s="298">
        <f t="shared" si="14"/>
        <v>4.6875E-2</v>
      </c>
      <c r="BI739" s="3"/>
      <c r="BJ739" s="3"/>
      <c r="BK739" s="3"/>
      <c r="BL739" s="3"/>
      <c r="BM739" s="3"/>
      <c r="BN739" s="3"/>
      <c r="BS739" s="294">
        <f t="shared" si="15"/>
        <v>5</v>
      </c>
      <c r="BT739" s="297">
        <f t="shared" si="16"/>
        <v>7.8125E-2</v>
      </c>
      <c r="BU739" s="298">
        <f t="shared" si="17"/>
        <v>4.6861237522019962E-2</v>
      </c>
      <c r="BV739" s="3"/>
      <c r="BW739" s="3"/>
      <c r="BX739" s="3"/>
      <c r="BY739" s="3"/>
      <c r="BZ739" s="3"/>
      <c r="CA739" s="3"/>
      <c r="CB739" s="3"/>
      <c r="CC739" s="3"/>
      <c r="CE739" s="3"/>
      <c r="CF739" s="3"/>
      <c r="CG739" s="1414">
        <f t="shared" si="18"/>
        <v>0</v>
      </c>
      <c r="CH739" s="1264"/>
      <c r="CI739" s="1381">
        <f t="shared" si="19"/>
        <v>0</v>
      </c>
      <c r="CJ739" s="1264"/>
      <c r="CK739" s="1414">
        <f t="shared" si="20"/>
        <v>0</v>
      </c>
      <c r="CL739" s="1264"/>
      <c r="CM739" s="1381">
        <f t="shared" si="21"/>
        <v>0</v>
      </c>
      <c r="CN739" s="1264"/>
      <c r="CO739" s="3"/>
      <c r="CP739" s="1379">
        <f t="shared" si="22"/>
        <v>0</v>
      </c>
      <c r="CQ739" s="1263"/>
      <c r="CR739" s="1263"/>
      <c r="CS739" s="1263"/>
      <c r="CT739" s="1264"/>
      <c r="CU739" s="1379">
        <f t="shared" si="23"/>
        <v>0</v>
      </c>
      <c r="CV739" s="1263"/>
      <c r="CW739" s="1263"/>
      <c r="CX739" s="1263"/>
      <c r="CY739" s="1264"/>
      <c r="CZ739" s="1379">
        <f t="shared" si="24"/>
        <v>5</v>
      </c>
      <c r="DA739" s="1263"/>
      <c r="DB739" s="1263"/>
      <c r="DC739" s="1263"/>
      <c r="DD739" s="1264"/>
      <c r="DE739" s="1379">
        <f t="shared" si="25"/>
        <v>0</v>
      </c>
      <c r="DF739" s="1263"/>
      <c r="DG739" s="1263"/>
      <c r="DH739" s="1263"/>
      <c r="DI739" s="1264"/>
      <c r="DJ739" s="1379">
        <f t="shared" si="26"/>
        <v>0</v>
      </c>
      <c r="DK739" s="1263"/>
      <c r="DL739" s="1263"/>
      <c r="DM739" s="1263"/>
      <c r="DN739" s="1264"/>
      <c r="DO739" s="1379">
        <f t="shared" si="27"/>
        <v>0</v>
      </c>
      <c r="DP739" s="1263"/>
      <c r="DQ739" s="1263"/>
      <c r="DR739" s="1263"/>
      <c r="DS739" s="1264"/>
      <c r="DT739" s="6"/>
      <c r="DU739" s="1377">
        <f t="shared" si="28"/>
        <v>0</v>
      </c>
      <c r="DV739" s="1263"/>
      <c r="DW739" s="1263"/>
      <c r="DX739" s="1263"/>
      <c r="DY739" s="1264"/>
      <c r="DZ739" s="1377">
        <f t="shared" si="29"/>
        <v>0</v>
      </c>
      <c r="EA739" s="1263"/>
      <c r="EB739" s="1263"/>
      <c r="EC739" s="1263"/>
      <c r="ED739" s="1264"/>
      <c r="EE739" s="1377">
        <f t="shared" si="30"/>
        <v>0</v>
      </c>
      <c r="EF739" s="1263"/>
      <c r="EG739" s="1263"/>
      <c r="EH739" s="1263"/>
      <c r="EI739" s="1264"/>
      <c r="EJ739" s="1377">
        <f t="shared" si="31"/>
        <v>0</v>
      </c>
      <c r="EK739" s="1263"/>
      <c r="EL739" s="1263"/>
      <c r="EM739" s="1263"/>
      <c r="EN739" s="1264"/>
      <c r="EO739" s="1377">
        <f t="shared" si="32"/>
        <v>0</v>
      </c>
      <c r="EP739" s="1263"/>
      <c r="EQ739" s="1263"/>
      <c r="ER739" s="1263"/>
      <c r="ES739" s="1264"/>
      <c r="ET739" s="1377">
        <f t="shared" si="33"/>
        <v>0</v>
      </c>
      <c r="EU739" s="1263"/>
      <c r="EV739" s="1263"/>
      <c r="EW739" s="1263"/>
      <c r="EX739" s="1264"/>
      <c r="EZ739" s="1414" t="str">
        <f t="shared" si="34"/>
        <v/>
      </c>
      <c r="FA739" s="1263"/>
      <c r="FB739" s="1263"/>
      <c r="FC739" s="1263"/>
      <c r="FD739" s="1264"/>
      <c r="FE739" s="1414" t="str">
        <f t="shared" si="35"/>
        <v/>
      </c>
      <c r="FF739" s="1263"/>
      <c r="FG739" s="1263"/>
      <c r="FH739" s="1263"/>
      <c r="FI739" s="1264"/>
      <c r="FJ739" s="1414">
        <f t="shared" si="36"/>
        <v>1981</v>
      </c>
      <c r="FK739" s="1263"/>
      <c r="FL739" s="1263"/>
      <c r="FM739" s="1263"/>
      <c r="FN739" s="1264"/>
      <c r="FO739" s="1414" t="str">
        <f t="shared" si="37"/>
        <v/>
      </c>
      <c r="FP739" s="1263"/>
      <c r="FQ739" s="1263"/>
      <c r="FR739" s="1263"/>
      <c r="FS739" s="1264"/>
      <c r="FT739" s="1414" t="str">
        <f t="shared" si="38"/>
        <v/>
      </c>
      <c r="FU739" s="1263"/>
      <c r="FV739" s="1263"/>
      <c r="FW739" s="1263"/>
      <c r="FX739" s="1264"/>
      <c r="FY739" s="1414" t="str">
        <f t="shared" si="39"/>
        <v/>
      </c>
      <c r="FZ739" s="1263"/>
      <c r="GA739" s="1263"/>
      <c r="GB739" s="1263"/>
      <c r="GC739" s="1264"/>
    </row>
    <row r="740" spans="1:185" ht="12.9" customHeight="1">
      <c r="B740" s="1392" t="s">
        <v>957</v>
      </c>
      <c r="C740" s="1374"/>
      <c r="D740" s="1374"/>
      <c r="E740" s="1374"/>
      <c r="F740" s="1375"/>
      <c r="G740" s="1420">
        <v>1</v>
      </c>
      <c r="H740" s="1374"/>
      <c r="I740" s="1374"/>
      <c r="J740" s="1375"/>
      <c r="K740" s="1406"/>
      <c r="L740" s="1374"/>
      <c r="M740" s="1374"/>
      <c r="N740" s="1375"/>
      <c r="O740" s="1376">
        <v>1105</v>
      </c>
      <c r="P740" s="1374"/>
      <c r="Q740" s="1374"/>
      <c r="R740" s="1374"/>
      <c r="S740" s="1375"/>
      <c r="T740" s="1376">
        <v>76</v>
      </c>
      <c r="U740" s="1374"/>
      <c r="V740" s="1374"/>
      <c r="W740" s="1375"/>
      <c r="X740" s="1424">
        <f t="shared" si="9"/>
        <v>1181</v>
      </c>
      <c r="Y740" s="1263"/>
      <c r="Z740" s="1263"/>
      <c r="AA740" s="1263"/>
      <c r="AB740" s="1264"/>
      <c r="AC740" s="1398">
        <v>0.3</v>
      </c>
      <c r="AD740" s="1374"/>
      <c r="AE740" s="1374"/>
      <c r="AF740" s="1374"/>
      <c r="AG740" s="1375"/>
      <c r="AH740" s="1441">
        <f t="shared" si="10"/>
        <v>0.29989842559674962</v>
      </c>
      <c r="AI740" s="1417"/>
      <c r="AJ740" s="1423"/>
      <c r="AK740" s="1392" t="s">
        <v>935</v>
      </c>
      <c r="AL740" s="1374"/>
      <c r="AM740" s="1374"/>
      <c r="AN740" s="1374"/>
      <c r="AO740" s="1375"/>
      <c r="AP740" s="3"/>
      <c r="AQ740" s="3"/>
      <c r="AR740" s="3"/>
      <c r="AS740" s="3"/>
      <c r="AY740" s="1078"/>
      <c r="AZ740" s="118">
        <f t="shared" si="11"/>
        <v>3938</v>
      </c>
      <c r="BA740" s="3"/>
      <c r="BB740" s="3"/>
      <c r="BC740" s="3"/>
      <c r="BD740" s="3"/>
      <c r="BE740" s="204"/>
      <c r="BF740" s="294">
        <f t="shared" si="12"/>
        <v>1</v>
      </c>
      <c r="BG740" s="297">
        <f t="shared" si="13"/>
        <v>1.5625E-2</v>
      </c>
      <c r="BH740" s="298">
        <f t="shared" si="14"/>
        <v>4.6874999999999998E-3</v>
      </c>
      <c r="BI740" s="3"/>
      <c r="BJ740" s="3"/>
      <c r="BK740" s="3"/>
      <c r="BL740" s="3"/>
      <c r="BM740" s="3"/>
      <c r="BN740" s="3"/>
      <c r="BS740" s="294">
        <f t="shared" si="15"/>
        <v>1</v>
      </c>
      <c r="BT740" s="297">
        <f t="shared" si="16"/>
        <v>1.5625E-2</v>
      </c>
      <c r="BU740" s="298">
        <f t="shared" si="17"/>
        <v>4.6859128999492128E-3</v>
      </c>
      <c r="BV740" s="3"/>
      <c r="BW740" s="3"/>
      <c r="BX740" s="3"/>
      <c r="BY740" s="3"/>
      <c r="BZ740" s="3"/>
      <c r="CA740" s="3"/>
      <c r="CB740" s="3"/>
      <c r="CC740" s="3"/>
      <c r="CE740" s="3"/>
      <c r="CF740" s="3"/>
      <c r="CG740" s="1414">
        <f t="shared" si="18"/>
        <v>0</v>
      </c>
      <c r="CH740" s="1264"/>
      <c r="CI740" s="1381">
        <f t="shared" si="19"/>
        <v>0</v>
      </c>
      <c r="CJ740" s="1264"/>
      <c r="CK740" s="1414">
        <f t="shared" si="20"/>
        <v>1</v>
      </c>
      <c r="CL740" s="1264"/>
      <c r="CM740" s="1381">
        <f t="shared" si="21"/>
        <v>1</v>
      </c>
      <c r="CN740" s="1264"/>
      <c r="CO740" s="3"/>
      <c r="CP740" s="1379">
        <f t="shared" si="22"/>
        <v>0</v>
      </c>
      <c r="CQ740" s="1263"/>
      <c r="CR740" s="1263"/>
      <c r="CS740" s="1263"/>
      <c r="CT740" s="1264"/>
      <c r="CU740" s="1379">
        <f t="shared" si="23"/>
        <v>0</v>
      </c>
      <c r="CV740" s="1263"/>
      <c r="CW740" s="1263"/>
      <c r="CX740" s="1263"/>
      <c r="CY740" s="1264"/>
      <c r="CZ740" s="1379">
        <f t="shared" si="24"/>
        <v>0</v>
      </c>
      <c r="DA740" s="1263"/>
      <c r="DB740" s="1263"/>
      <c r="DC740" s="1263"/>
      <c r="DD740" s="1264"/>
      <c r="DE740" s="1379">
        <f t="shared" si="25"/>
        <v>1</v>
      </c>
      <c r="DF740" s="1263"/>
      <c r="DG740" s="1263"/>
      <c r="DH740" s="1263"/>
      <c r="DI740" s="1264"/>
      <c r="DJ740" s="1379">
        <f t="shared" si="26"/>
        <v>0</v>
      </c>
      <c r="DK740" s="1263"/>
      <c r="DL740" s="1263"/>
      <c r="DM740" s="1263"/>
      <c r="DN740" s="1264"/>
      <c r="DO740" s="1379">
        <f t="shared" si="27"/>
        <v>0</v>
      </c>
      <c r="DP740" s="1263"/>
      <c r="DQ740" s="1263"/>
      <c r="DR740" s="1263"/>
      <c r="DS740" s="1264"/>
      <c r="DT740" s="6"/>
      <c r="DU740" s="1377">
        <f t="shared" si="28"/>
        <v>0</v>
      </c>
      <c r="DV740" s="1263"/>
      <c r="DW740" s="1263"/>
      <c r="DX740" s="1263"/>
      <c r="DY740" s="1264"/>
      <c r="DZ740" s="1377">
        <f t="shared" si="29"/>
        <v>0</v>
      </c>
      <c r="EA740" s="1263"/>
      <c r="EB740" s="1263"/>
      <c r="EC740" s="1263"/>
      <c r="ED740" s="1264"/>
      <c r="EE740" s="1377">
        <f t="shared" si="30"/>
        <v>0</v>
      </c>
      <c r="EF740" s="1263"/>
      <c r="EG740" s="1263"/>
      <c r="EH740" s="1263"/>
      <c r="EI740" s="1264"/>
      <c r="EJ740" s="1377">
        <f t="shared" si="31"/>
        <v>1</v>
      </c>
      <c r="EK740" s="1263"/>
      <c r="EL740" s="1263"/>
      <c r="EM740" s="1263"/>
      <c r="EN740" s="1264"/>
      <c r="EO740" s="1377">
        <f t="shared" si="32"/>
        <v>0</v>
      </c>
      <c r="EP740" s="1263"/>
      <c r="EQ740" s="1263"/>
      <c r="ER740" s="1263"/>
      <c r="ES740" s="1264"/>
      <c r="ET740" s="1377">
        <f t="shared" si="33"/>
        <v>0</v>
      </c>
      <c r="EU740" s="1263"/>
      <c r="EV740" s="1263"/>
      <c r="EW740" s="1263"/>
      <c r="EX740" s="1264"/>
      <c r="EZ740" s="1414" t="str">
        <f t="shared" si="34"/>
        <v/>
      </c>
      <c r="FA740" s="1263"/>
      <c r="FB740" s="1263"/>
      <c r="FC740" s="1263"/>
      <c r="FD740" s="1264"/>
      <c r="FE740" s="1414" t="str">
        <f t="shared" si="35"/>
        <v/>
      </c>
      <c r="FF740" s="1263"/>
      <c r="FG740" s="1263"/>
      <c r="FH740" s="1263"/>
      <c r="FI740" s="1264"/>
      <c r="FJ740" s="1414" t="str">
        <f t="shared" si="36"/>
        <v/>
      </c>
      <c r="FK740" s="1263"/>
      <c r="FL740" s="1263"/>
      <c r="FM740" s="1263"/>
      <c r="FN740" s="1264"/>
      <c r="FO740" s="1414">
        <f t="shared" si="37"/>
        <v>1105</v>
      </c>
      <c r="FP740" s="1263"/>
      <c r="FQ740" s="1263"/>
      <c r="FR740" s="1263"/>
      <c r="FS740" s="1264"/>
      <c r="FT740" s="1414" t="str">
        <f t="shared" si="38"/>
        <v/>
      </c>
      <c r="FU740" s="1263"/>
      <c r="FV740" s="1263"/>
      <c r="FW740" s="1263"/>
      <c r="FX740" s="1264"/>
      <c r="FY740" s="1414" t="str">
        <f t="shared" si="39"/>
        <v/>
      </c>
      <c r="FZ740" s="1263"/>
      <c r="GA740" s="1263"/>
      <c r="GB740" s="1263"/>
      <c r="GC740" s="1264"/>
    </row>
    <row r="741" spans="1:185" ht="12.9" customHeight="1">
      <c r="B741" s="1392" t="s">
        <v>957</v>
      </c>
      <c r="C741" s="1374"/>
      <c r="D741" s="1374"/>
      <c r="E741" s="1374"/>
      <c r="F741" s="1375"/>
      <c r="G741" s="1420">
        <v>3</v>
      </c>
      <c r="H741" s="1374"/>
      <c r="I741" s="1374"/>
      <c r="J741" s="1375"/>
      <c r="K741" s="1406"/>
      <c r="L741" s="1374"/>
      <c r="M741" s="1374"/>
      <c r="N741" s="1375"/>
      <c r="O741" s="1376">
        <v>1696</v>
      </c>
      <c r="P741" s="1374"/>
      <c r="Q741" s="1374"/>
      <c r="R741" s="1374"/>
      <c r="S741" s="1375"/>
      <c r="T741" s="1376">
        <v>76</v>
      </c>
      <c r="U741" s="1374"/>
      <c r="V741" s="1374"/>
      <c r="W741" s="1375"/>
      <c r="X741" s="1424">
        <f t="shared" si="9"/>
        <v>1772</v>
      </c>
      <c r="Y741" s="1263"/>
      <c r="Z741" s="1263"/>
      <c r="AA741" s="1263"/>
      <c r="AB741" s="1264"/>
      <c r="AC741" s="1398">
        <v>0.45</v>
      </c>
      <c r="AD741" s="1374"/>
      <c r="AE741" s="1374"/>
      <c r="AF741" s="1374"/>
      <c r="AG741" s="1375"/>
      <c r="AH741" s="1441">
        <f t="shared" si="10"/>
        <v>0.4499746063991874</v>
      </c>
      <c r="AI741" s="1417"/>
      <c r="AJ741" s="1423"/>
      <c r="AK741" s="1392" t="s">
        <v>935</v>
      </c>
      <c r="AL741" s="1374"/>
      <c r="AM741" s="1374"/>
      <c r="AN741" s="1374"/>
      <c r="AO741" s="1375"/>
      <c r="AP741" s="3"/>
      <c r="AQ741" s="3"/>
      <c r="AR741" s="3"/>
      <c r="AS741" s="3"/>
      <c r="AY741" s="1078"/>
      <c r="AZ741" s="118">
        <f t="shared" si="11"/>
        <v>3938</v>
      </c>
      <c r="BA741" s="3"/>
      <c r="BB741" s="3"/>
      <c r="BC741" s="3"/>
      <c r="BD741" s="3"/>
      <c r="BE741" s="204"/>
      <c r="BF741" s="294">
        <f t="shared" si="12"/>
        <v>3</v>
      </c>
      <c r="BG741" s="297">
        <f t="shared" si="13"/>
        <v>4.6875E-2</v>
      </c>
      <c r="BH741" s="298">
        <f t="shared" si="14"/>
        <v>2.1093750000000001E-2</v>
      </c>
      <c r="BI741" s="3"/>
      <c r="BJ741" s="3"/>
      <c r="BK741" s="3"/>
      <c r="BL741" s="3"/>
      <c r="BM741" s="3"/>
      <c r="BN741" s="3"/>
      <c r="BS741" s="294">
        <f t="shared" si="15"/>
        <v>3</v>
      </c>
      <c r="BT741" s="297">
        <f t="shared" si="16"/>
        <v>4.6875E-2</v>
      </c>
      <c r="BU741" s="298">
        <f t="shared" si="17"/>
        <v>2.109255967496191E-2</v>
      </c>
      <c r="BV741" s="3"/>
      <c r="BW741" s="3"/>
      <c r="BX741" s="3"/>
      <c r="BY741" s="3"/>
      <c r="BZ741" s="3"/>
      <c r="CA741" s="3"/>
      <c r="CB741" s="3"/>
      <c r="CC741" s="3"/>
      <c r="CE741" s="3"/>
      <c r="CF741" s="3"/>
      <c r="CG741" s="1414">
        <f t="shared" si="18"/>
        <v>1</v>
      </c>
      <c r="CH741" s="1264"/>
      <c r="CI741" s="1381">
        <f t="shared" si="19"/>
        <v>3</v>
      </c>
      <c r="CJ741" s="1264"/>
      <c r="CK741" s="1414">
        <f t="shared" si="20"/>
        <v>0</v>
      </c>
      <c r="CL741" s="1264"/>
      <c r="CM741" s="1381">
        <f t="shared" si="21"/>
        <v>0</v>
      </c>
      <c r="CN741" s="1264"/>
      <c r="CO741" s="3"/>
      <c r="CP741" s="1379">
        <f t="shared" si="22"/>
        <v>0</v>
      </c>
      <c r="CQ741" s="1263"/>
      <c r="CR741" s="1263"/>
      <c r="CS741" s="1263"/>
      <c r="CT741" s="1264"/>
      <c r="CU741" s="1379">
        <f t="shared" si="23"/>
        <v>0</v>
      </c>
      <c r="CV741" s="1263"/>
      <c r="CW741" s="1263"/>
      <c r="CX741" s="1263"/>
      <c r="CY741" s="1264"/>
      <c r="CZ741" s="1379">
        <f t="shared" si="24"/>
        <v>0</v>
      </c>
      <c r="DA741" s="1263"/>
      <c r="DB741" s="1263"/>
      <c r="DC741" s="1263"/>
      <c r="DD741" s="1264"/>
      <c r="DE741" s="1379">
        <f t="shared" si="25"/>
        <v>3</v>
      </c>
      <c r="DF741" s="1263"/>
      <c r="DG741" s="1263"/>
      <c r="DH741" s="1263"/>
      <c r="DI741" s="1264"/>
      <c r="DJ741" s="1379">
        <f t="shared" si="26"/>
        <v>0</v>
      </c>
      <c r="DK741" s="1263"/>
      <c r="DL741" s="1263"/>
      <c r="DM741" s="1263"/>
      <c r="DN741" s="1264"/>
      <c r="DO741" s="1379">
        <f t="shared" si="27"/>
        <v>0</v>
      </c>
      <c r="DP741" s="1263"/>
      <c r="DQ741" s="1263"/>
      <c r="DR741" s="1263"/>
      <c r="DS741" s="1264"/>
      <c r="DT741" s="6"/>
      <c r="DU741" s="1377">
        <f t="shared" si="28"/>
        <v>0</v>
      </c>
      <c r="DV741" s="1263"/>
      <c r="DW741" s="1263"/>
      <c r="DX741" s="1263"/>
      <c r="DY741" s="1264"/>
      <c r="DZ741" s="1377">
        <f t="shared" si="29"/>
        <v>0</v>
      </c>
      <c r="EA741" s="1263"/>
      <c r="EB741" s="1263"/>
      <c r="EC741" s="1263"/>
      <c r="ED741" s="1264"/>
      <c r="EE741" s="1377">
        <f t="shared" si="30"/>
        <v>0</v>
      </c>
      <c r="EF741" s="1263"/>
      <c r="EG741" s="1263"/>
      <c r="EH741" s="1263"/>
      <c r="EI741" s="1264"/>
      <c r="EJ741" s="1377">
        <f t="shared" si="31"/>
        <v>0</v>
      </c>
      <c r="EK741" s="1263"/>
      <c r="EL741" s="1263"/>
      <c r="EM741" s="1263"/>
      <c r="EN741" s="1264"/>
      <c r="EO741" s="1377">
        <f t="shared" si="32"/>
        <v>0</v>
      </c>
      <c r="EP741" s="1263"/>
      <c r="EQ741" s="1263"/>
      <c r="ER741" s="1263"/>
      <c r="ES741" s="1264"/>
      <c r="ET741" s="1377">
        <f t="shared" si="33"/>
        <v>0</v>
      </c>
      <c r="EU741" s="1263"/>
      <c r="EV741" s="1263"/>
      <c r="EW741" s="1263"/>
      <c r="EX741" s="1264"/>
      <c r="EZ741" s="1414" t="str">
        <f t="shared" si="34"/>
        <v/>
      </c>
      <c r="FA741" s="1263"/>
      <c r="FB741" s="1263"/>
      <c r="FC741" s="1263"/>
      <c r="FD741" s="1264"/>
      <c r="FE741" s="1414" t="str">
        <f t="shared" si="35"/>
        <v/>
      </c>
      <c r="FF741" s="1263"/>
      <c r="FG741" s="1263"/>
      <c r="FH741" s="1263"/>
      <c r="FI741" s="1264"/>
      <c r="FJ741" s="1414" t="str">
        <f t="shared" si="36"/>
        <v/>
      </c>
      <c r="FK741" s="1263"/>
      <c r="FL741" s="1263"/>
      <c r="FM741" s="1263"/>
      <c r="FN741" s="1264"/>
      <c r="FO741" s="1414">
        <f t="shared" si="37"/>
        <v>1696</v>
      </c>
      <c r="FP741" s="1263"/>
      <c r="FQ741" s="1263"/>
      <c r="FR741" s="1263"/>
      <c r="FS741" s="1264"/>
      <c r="FT741" s="1414" t="str">
        <f t="shared" si="38"/>
        <v/>
      </c>
      <c r="FU741" s="1263"/>
      <c r="FV741" s="1263"/>
      <c r="FW741" s="1263"/>
      <c r="FX741" s="1264"/>
      <c r="FY741" s="1414" t="str">
        <f t="shared" si="39"/>
        <v/>
      </c>
      <c r="FZ741" s="1263"/>
      <c r="GA741" s="1263"/>
      <c r="GB741" s="1263"/>
      <c r="GC741" s="1264"/>
    </row>
    <row r="742" spans="1:185" ht="12.9" customHeight="1">
      <c r="B742" s="1392" t="s">
        <v>957</v>
      </c>
      <c r="C742" s="1374"/>
      <c r="D742" s="1374"/>
      <c r="E742" s="1374"/>
      <c r="F742" s="1375"/>
      <c r="G742" s="1420">
        <v>2</v>
      </c>
      <c r="H742" s="1374"/>
      <c r="I742" s="1374"/>
      <c r="J742" s="1375"/>
      <c r="K742" s="1406"/>
      <c r="L742" s="1374"/>
      <c r="M742" s="1374"/>
      <c r="N742" s="1375"/>
      <c r="O742" s="1376">
        <v>1893</v>
      </c>
      <c r="P742" s="1374"/>
      <c r="Q742" s="1374"/>
      <c r="R742" s="1374"/>
      <c r="S742" s="1375"/>
      <c r="T742" s="1376">
        <v>76</v>
      </c>
      <c r="U742" s="1374"/>
      <c r="V742" s="1374"/>
      <c r="W742" s="1375"/>
      <c r="X742" s="1424">
        <f t="shared" si="9"/>
        <v>1969</v>
      </c>
      <c r="Y742" s="1263"/>
      <c r="Z742" s="1263"/>
      <c r="AA742" s="1263"/>
      <c r="AB742" s="1264"/>
      <c r="AC742" s="1398">
        <v>0.5</v>
      </c>
      <c r="AD742" s="1374"/>
      <c r="AE742" s="1374"/>
      <c r="AF742" s="1374"/>
      <c r="AG742" s="1375"/>
      <c r="AH742" s="1441">
        <f t="shared" si="10"/>
        <v>0.5</v>
      </c>
      <c r="AI742" s="1417"/>
      <c r="AJ742" s="1423"/>
      <c r="AK742" s="1392" t="s">
        <v>935</v>
      </c>
      <c r="AL742" s="1374"/>
      <c r="AM742" s="1374"/>
      <c r="AN742" s="1374"/>
      <c r="AO742" s="1375"/>
      <c r="AP742" s="3"/>
      <c r="AQ742" s="3"/>
      <c r="AR742" s="3"/>
      <c r="AS742" s="3"/>
      <c r="AY742" s="1078"/>
      <c r="AZ742" s="118">
        <f t="shared" si="11"/>
        <v>3938</v>
      </c>
      <c r="BA742" s="3"/>
      <c r="BB742" s="3"/>
      <c r="BC742" s="3"/>
      <c r="BD742" s="3"/>
      <c r="BE742" s="204"/>
      <c r="BF742" s="294">
        <f t="shared" si="12"/>
        <v>2</v>
      </c>
      <c r="BG742" s="297">
        <f t="shared" si="13"/>
        <v>3.125E-2</v>
      </c>
      <c r="BH742" s="298">
        <f t="shared" si="14"/>
        <v>1.5625E-2</v>
      </c>
      <c r="BI742" s="3"/>
      <c r="BJ742" s="3"/>
      <c r="BK742" s="3"/>
      <c r="BL742" s="3"/>
      <c r="BM742" s="3"/>
      <c r="BN742" s="3"/>
      <c r="BS742" s="294">
        <f t="shared" si="15"/>
        <v>2</v>
      </c>
      <c r="BT742" s="297">
        <f t="shared" si="16"/>
        <v>3.125E-2</v>
      </c>
      <c r="BU742" s="298">
        <f t="shared" si="17"/>
        <v>1.5625E-2</v>
      </c>
      <c r="BV742" s="3"/>
      <c r="BW742" s="3"/>
      <c r="BX742" s="3"/>
      <c r="BY742" s="3"/>
      <c r="BZ742" s="3"/>
      <c r="CA742" s="3"/>
      <c r="CB742" s="3"/>
      <c r="CC742" s="3"/>
      <c r="CE742" s="3"/>
      <c r="CF742" s="3"/>
      <c r="CG742" s="1414">
        <f t="shared" si="18"/>
        <v>1</v>
      </c>
      <c r="CH742" s="1264"/>
      <c r="CI742" s="1381">
        <f t="shared" si="19"/>
        <v>2</v>
      </c>
      <c r="CJ742" s="1264"/>
      <c r="CK742" s="1414">
        <f t="shared" si="20"/>
        <v>0</v>
      </c>
      <c r="CL742" s="1264"/>
      <c r="CM742" s="1381">
        <f t="shared" si="21"/>
        <v>0</v>
      </c>
      <c r="CN742" s="1264"/>
      <c r="CO742" s="3"/>
      <c r="CP742" s="1379">
        <f t="shared" si="22"/>
        <v>0</v>
      </c>
      <c r="CQ742" s="1263"/>
      <c r="CR742" s="1263"/>
      <c r="CS742" s="1263"/>
      <c r="CT742" s="1264"/>
      <c r="CU742" s="1379">
        <f t="shared" si="23"/>
        <v>0</v>
      </c>
      <c r="CV742" s="1263"/>
      <c r="CW742" s="1263"/>
      <c r="CX742" s="1263"/>
      <c r="CY742" s="1264"/>
      <c r="CZ742" s="1379">
        <f t="shared" si="24"/>
        <v>0</v>
      </c>
      <c r="DA742" s="1263"/>
      <c r="DB742" s="1263"/>
      <c r="DC742" s="1263"/>
      <c r="DD742" s="1264"/>
      <c r="DE742" s="1379">
        <f t="shared" si="25"/>
        <v>2</v>
      </c>
      <c r="DF742" s="1263"/>
      <c r="DG742" s="1263"/>
      <c r="DH742" s="1263"/>
      <c r="DI742" s="1264"/>
      <c r="DJ742" s="1379">
        <f t="shared" si="26"/>
        <v>0</v>
      </c>
      <c r="DK742" s="1263"/>
      <c r="DL742" s="1263"/>
      <c r="DM742" s="1263"/>
      <c r="DN742" s="1264"/>
      <c r="DO742" s="1379">
        <f t="shared" si="27"/>
        <v>0</v>
      </c>
      <c r="DP742" s="1263"/>
      <c r="DQ742" s="1263"/>
      <c r="DR742" s="1263"/>
      <c r="DS742" s="1264"/>
      <c r="DT742" s="6"/>
      <c r="DU742" s="1377">
        <f t="shared" si="28"/>
        <v>0</v>
      </c>
      <c r="DV742" s="1263"/>
      <c r="DW742" s="1263"/>
      <c r="DX742" s="1263"/>
      <c r="DY742" s="1264"/>
      <c r="DZ742" s="1377">
        <f t="shared" si="29"/>
        <v>0</v>
      </c>
      <c r="EA742" s="1263"/>
      <c r="EB742" s="1263"/>
      <c r="EC742" s="1263"/>
      <c r="ED742" s="1264"/>
      <c r="EE742" s="1377">
        <f t="shared" si="30"/>
        <v>0</v>
      </c>
      <c r="EF742" s="1263"/>
      <c r="EG742" s="1263"/>
      <c r="EH742" s="1263"/>
      <c r="EI742" s="1264"/>
      <c r="EJ742" s="1377">
        <f t="shared" si="31"/>
        <v>0</v>
      </c>
      <c r="EK742" s="1263"/>
      <c r="EL742" s="1263"/>
      <c r="EM742" s="1263"/>
      <c r="EN742" s="1264"/>
      <c r="EO742" s="1377">
        <f t="shared" si="32"/>
        <v>0</v>
      </c>
      <c r="EP742" s="1263"/>
      <c r="EQ742" s="1263"/>
      <c r="ER742" s="1263"/>
      <c r="ES742" s="1264"/>
      <c r="ET742" s="1377">
        <f t="shared" si="33"/>
        <v>0</v>
      </c>
      <c r="EU742" s="1263"/>
      <c r="EV742" s="1263"/>
      <c r="EW742" s="1263"/>
      <c r="EX742" s="1264"/>
      <c r="EZ742" s="1414" t="str">
        <f t="shared" si="34"/>
        <v/>
      </c>
      <c r="FA742" s="1263"/>
      <c r="FB742" s="1263"/>
      <c r="FC742" s="1263"/>
      <c r="FD742" s="1264"/>
      <c r="FE742" s="1414" t="str">
        <f t="shared" si="35"/>
        <v/>
      </c>
      <c r="FF742" s="1263"/>
      <c r="FG742" s="1263"/>
      <c r="FH742" s="1263"/>
      <c r="FI742" s="1264"/>
      <c r="FJ742" s="1414" t="str">
        <f t="shared" si="36"/>
        <v/>
      </c>
      <c r="FK742" s="1263"/>
      <c r="FL742" s="1263"/>
      <c r="FM742" s="1263"/>
      <c r="FN742" s="1264"/>
      <c r="FO742" s="1414">
        <f t="shared" si="37"/>
        <v>1893</v>
      </c>
      <c r="FP742" s="1263"/>
      <c r="FQ742" s="1263"/>
      <c r="FR742" s="1263"/>
      <c r="FS742" s="1264"/>
      <c r="FT742" s="1414" t="str">
        <f t="shared" si="38"/>
        <v/>
      </c>
      <c r="FU742" s="1263"/>
      <c r="FV742" s="1263"/>
      <c r="FW742" s="1263"/>
      <c r="FX742" s="1264"/>
      <c r="FY742" s="1414" t="str">
        <f t="shared" si="39"/>
        <v/>
      </c>
      <c r="FZ742" s="1263"/>
      <c r="GA742" s="1263"/>
      <c r="GB742" s="1263"/>
      <c r="GC742" s="1264"/>
    </row>
    <row r="743" spans="1:185" ht="12.9" customHeight="1">
      <c r="B743" s="1392" t="s">
        <v>957</v>
      </c>
      <c r="C743" s="1374"/>
      <c r="D743" s="1374"/>
      <c r="E743" s="1374"/>
      <c r="F743" s="1375"/>
      <c r="G743" s="1420">
        <v>4</v>
      </c>
      <c r="H743" s="1374"/>
      <c r="I743" s="1374"/>
      <c r="J743" s="1375"/>
      <c r="K743" s="1406"/>
      <c r="L743" s="1374"/>
      <c r="M743" s="1374"/>
      <c r="N743" s="1375"/>
      <c r="O743" s="1376">
        <v>2286</v>
      </c>
      <c r="P743" s="1374"/>
      <c r="Q743" s="1374"/>
      <c r="R743" s="1374"/>
      <c r="S743" s="1375"/>
      <c r="T743" s="1376">
        <v>76</v>
      </c>
      <c r="U743" s="1374"/>
      <c r="V743" s="1374"/>
      <c r="W743" s="1375"/>
      <c r="X743" s="1424">
        <f t="shared" si="9"/>
        <v>2362</v>
      </c>
      <c r="Y743" s="1263"/>
      <c r="Z743" s="1263"/>
      <c r="AA743" s="1263"/>
      <c r="AB743" s="1264"/>
      <c r="AC743" s="1398">
        <v>0.6</v>
      </c>
      <c r="AD743" s="1374"/>
      <c r="AE743" s="1374"/>
      <c r="AF743" s="1374"/>
      <c r="AG743" s="1375"/>
      <c r="AH743" s="1441">
        <f t="shared" si="10"/>
        <v>0.59979685119349924</v>
      </c>
      <c r="AI743" s="1417"/>
      <c r="AJ743" s="1423"/>
      <c r="AK743" s="1392" t="s">
        <v>935</v>
      </c>
      <c r="AL743" s="1374"/>
      <c r="AM743" s="1374"/>
      <c r="AN743" s="1374"/>
      <c r="AO743" s="1375"/>
      <c r="AP743" s="3"/>
      <c r="AQ743" s="3"/>
      <c r="AR743" s="3"/>
      <c r="AS743" s="3"/>
      <c r="AY743" s="1078"/>
      <c r="AZ743" s="118">
        <f t="shared" si="11"/>
        <v>3938</v>
      </c>
      <c r="BA743" s="3"/>
      <c r="BB743" s="3"/>
      <c r="BC743" s="3"/>
      <c r="BD743" s="3"/>
      <c r="BE743" s="204"/>
      <c r="BF743" s="294">
        <f t="shared" si="12"/>
        <v>4</v>
      </c>
      <c r="BG743" s="297">
        <f t="shared" si="13"/>
        <v>6.25E-2</v>
      </c>
      <c r="BH743" s="298">
        <f t="shared" si="14"/>
        <v>3.7499999999999999E-2</v>
      </c>
      <c r="BI743" s="3"/>
      <c r="BJ743" s="3"/>
      <c r="BK743" s="3"/>
      <c r="BL743" s="3"/>
      <c r="BM743" s="3"/>
      <c r="BN743" s="3"/>
      <c r="BS743" s="294">
        <f t="shared" si="15"/>
        <v>4</v>
      </c>
      <c r="BT743" s="297">
        <f t="shared" si="16"/>
        <v>6.25E-2</v>
      </c>
      <c r="BU743" s="298">
        <f t="shared" si="17"/>
        <v>3.7487303199593702E-2</v>
      </c>
      <c r="BV743" s="3"/>
      <c r="BW743" s="3"/>
      <c r="BX743" s="3"/>
      <c r="BY743" s="3"/>
      <c r="BZ743" s="3"/>
      <c r="CA743" s="3"/>
      <c r="CB743" s="3"/>
      <c r="CC743" s="3"/>
      <c r="CE743" s="3"/>
      <c r="CF743" s="3"/>
      <c r="CG743" s="1414">
        <f t="shared" si="18"/>
        <v>0</v>
      </c>
      <c r="CH743" s="1264"/>
      <c r="CI743" s="1381">
        <f t="shared" si="19"/>
        <v>0</v>
      </c>
      <c r="CJ743" s="1264"/>
      <c r="CK743" s="1414">
        <f t="shared" si="20"/>
        <v>0</v>
      </c>
      <c r="CL743" s="1264"/>
      <c r="CM743" s="1381">
        <f t="shared" si="21"/>
        <v>0</v>
      </c>
      <c r="CN743" s="1264"/>
      <c r="CO743" s="3"/>
      <c r="CP743" s="1379">
        <f t="shared" si="22"/>
        <v>0</v>
      </c>
      <c r="CQ743" s="1263"/>
      <c r="CR743" s="1263"/>
      <c r="CS743" s="1263"/>
      <c r="CT743" s="1264"/>
      <c r="CU743" s="1379">
        <f t="shared" si="23"/>
        <v>0</v>
      </c>
      <c r="CV743" s="1263"/>
      <c r="CW743" s="1263"/>
      <c r="CX743" s="1263"/>
      <c r="CY743" s="1264"/>
      <c r="CZ743" s="1379">
        <f t="shared" si="24"/>
        <v>0</v>
      </c>
      <c r="DA743" s="1263"/>
      <c r="DB743" s="1263"/>
      <c r="DC743" s="1263"/>
      <c r="DD743" s="1264"/>
      <c r="DE743" s="1379">
        <f t="shared" si="25"/>
        <v>4</v>
      </c>
      <c r="DF743" s="1263"/>
      <c r="DG743" s="1263"/>
      <c r="DH743" s="1263"/>
      <c r="DI743" s="1264"/>
      <c r="DJ743" s="1379">
        <f t="shared" si="26"/>
        <v>0</v>
      </c>
      <c r="DK743" s="1263"/>
      <c r="DL743" s="1263"/>
      <c r="DM743" s="1263"/>
      <c r="DN743" s="1264"/>
      <c r="DO743" s="1379">
        <f t="shared" si="27"/>
        <v>0</v>
      </c>
      <c r="DP743" s="1263"/>
      <c r="DQ743" s="1263"/>
      <c r="DR743" s="1263"/>
      <c r="DS743" s="1264"/>
      <c r="DT743" s="6"/>
      <c r="DU743" s="1377">
        <f t="shared" si="28"/>
        <v>0</v>
      </c>
      <c r="DV743" s="1263"/>
      <c r="DW743" s="1263"/>
      <c r="DX743" s="1263"/>
      <c r="DY743" s="1264"/>
      <c r="DZ743" s="1377">
        <f t="shared" si="29"/>
        <v>0</v>
      </c>
      <c r="EA743" s="1263"/>
      <c r="EB743" s="1263"/>
      <c r="EC743" s="1263"/>
      <c r="ED743" s="1264"/>
      <c r="EE743" s="1377">
        <f t="shared" si="30"/>
        <v>0</v>
      </c>
      <c r="EF743" s="1263"/>
      <c r="EG743" s="1263"/>
      <c r="EH743" s="1263"/>
      <c r="EI743" s="1264"/>
      <c r="EJ743" s="1377">
        <f t="shared" si="31"/>
        <v>0</v>
      </c>
      <c r="EK743" s="1263"/>
      <c r="EL743" s="1263"/>
      <c r="EM743" s="1263"/>
      <c r="EN743" s="1264"/>
      <c r="EO743" s="1377">
        <f t="shared" si="32"/>
        <v>0</v>
      </c>
      <c r="EP743" s="1263"/>
      <c r="EQ743" s="1263"/>
      <c r="ER743" s="1263"/>
      <c r="ES743" s="1264"/>
      <c r="ET743" s="1377">
        <f t="shared" si="33"/>
        <v>0</v>
      </c>
      <c r="EU743" s="1263"/>
      <c r="EV743" s="1263"/>
      <c r="EW743" s="1263"/>
      <c r="EX743" s="1264"/>
      <c r="EZ743" s="1414" t="str">
        <f t="shared" si="34"/>
        <v/>
      </c>
      <c r="FA743" s="1263"/>
      <c r="FB743" s="1263"/>
      <c r="FC743" s="1263"/>
      <c r="FD743" s="1264"/>
      <c r="FE743" s="1414" t="str">
        <f t="shared" si="35"/>
        <v/>
      </c>
      <c r="FF743" s="1263"/>
      <c r="FG743" s="1263"/>
      <c r="FH743" s="1263"/>
      <c r="FI743" s="1264"/>
      <c r="FJ743" s="1414" t="str">
        <f t="shared" si="36"/>
        <v/>
      </c>
      <c r="FK743" s="1263"/>
      <c r="FL743" s="1263"/>
      <c r="FM743" s="1263"/>
      <c r="FN743" s="1264"/>
      <c r="FO743" s="1414">
        <f t="shared" si="37"/>
        <v>2286</v>
      </c>
      <c r="FP743" s="1263"/>
      <c r="FQ743" s="1263"/>
      <c r="FR743" s="1263"/>
      <c r="FS743" s="1264"/>
      <c r="FT743" s="1414" t="str">
        <f t="shared" si="38"/>
        <v/>
      </c>
      <c r="FU743" s="1263"/>
      <c r="FV743" s="1263"/>
      <c r="FW743" s="1263"/>
      <c r="FX743" s="1264"/>
      <c r="FY743" s="1414" t="str">
        <f t="shared" si="39"/>
        <v/>
      </c>
      <c r="FZ743" s="1263"/>
      <c r="GA743" s="1263"/>
      <c r="GB743" s="1263"/>
      <c r="GC743" s="1264"/>
    </row>
    <row r="744" spans="1:185" ht="12.9" customHeight="1">
      <c r="B744" s="1392" t="s">
        <v>957</v>
      </c>
      <c r="C744" s="1374"/>
      <c r="D744" s="1374"/>
      <c r="E744" s="1374"/>
      <c r="F744" s="1375"/>
      <c r="G744" s="1420">
        <v>2</v>
      </c>
      <c r="H744" s="1374"/>
      <c r="I744" s="1374"/>
      <c r="J744" s="1375"/>
      <c r="K744" s="1406"/>
      <c r="L744" s="1374"/>
      <c r="M744" s="1374"/>
      <c r="N744" s="1375"/>
      <c r="O744" s="1376">
        <v>1105</v>
      </c>
      <c r="P744" s="1374"/>
      <c r="Q744" s="1374"/>
      <c r="R744" s="1374"/>
      <c r="S744" s="1375"/>
      <c r="T744" s="1376">
        <v>76</v>
      </c>
      <c r="U744" s="1374"/>
      <c r="V744" s="1374"/>
      <c r="W744" s="1375"/>
      <c r="X744" s="1424">
        <f t="shared" si="9"/>
        <v>1181</v>
      </c>
      <c r="Y744" s="1263"/>
      <c r="Z744" s="1263"/>
      <c r="AA744" s="1263"/>
      <c r="AB744" s="1264"/>
      <c r="AC744" s="1398">
        <v>0.3</v>
      </c>
      <c r="AD744" s="1374"/>
      <c r="AE744" s="1374"/>
      <c r="AF744" s="1374"/>
      <c r="AG744" s="1375"/>
      <c r="AH744" s="1441">
        <f t="shared" si="10"/>
        <v>0.29989842559674962</v>
      </c>
      <c r="AI744" s="1417"/>
      <c r="AJ744" s="1423"/>
      <c r="AK744" s="1392" t="s">
        <v>935</v>
      </c>
      <c r="AL744" s="1374"/>
      <c r="AM744" s="1374"/>
      <c r="AN744" s="1374"/>
      <c r="AO744" s="1375"/>
      <c r="AP744" s="3"/>
      <c r="AQ744" s="3"/>
      <c r="AR744" s="3"/>
      <c r="AS744" s="3"/>
      <c r="AY744" s="1078"/>
      <c r="AZ744" s="118">
        <f t="shared" si="11"/>
        <v>3938</v>
      </c>
      <c r="BA744" s="3"/>
      <c r="BB744" s="3"/>
      <c r="BC744" s="3"/>
      <c r="BD744" s="3"/>
      <c r="BE744" s="204"/>
      <c r="BF744" s="294">
        <f t="shared" si="12"/>
        <v>2</v>
      </c>
      <c r="BG744" s="297">
        <f t="shared" si="13"/>
        <v>3.125E-2</v>
      </c>
      <c r="BH744" s="298">
        <f t="shared" si="14"/>
        <v>9.3749999999999997E-3</v>
      </c>
      <c r="BI744" s="3"/>
      <c r="BJ744" s="3"/>
      <c r="BK744" s="3"/>
      <c r="BL744" s="3"/>
      <c r="BM744" s="3"/>
      <c r="BN744" s="3"/>
      <c r="BS744" s="294">
        <f t="shared" si="15"/>
        <v>2</v>
      </c>
      <c r="BT744" s="297">
        <f t="shared" si="16"/>
        <v>3.125E-2</v>
      </c>
      <c r="BU744" s="298">
        <f t="shared" si="17"/>
        <v>9.3718257998984256E-3</v>
      </c>
      <c r="BV744" s="3"/>
      <c r="BW744" s="3"/>
      <c r="BX744" s="3"/>
      <c r="BY744" s="3"/>
      <c r="BZ744" s="3"/>
      <c r="CA744" s="3"/>
      <c r="CB744" s="3"/>
      <c r="CC744" s="3"/>
      <c r="CE744" s="3"/>
      <c r="CF744" s="3"/>
      <c r="CG744" s="1414">
        <f t="shared" si="18"/>
        <v>0</v>
      </c>
      <c r="CH744" s="1264"/>
      <c r="CI744" s="1381">
        <f t="shared" si="19"/>
        <v>0</v>
      </c>
      <c r="CJ744" s="1264"/>
      <c r="CK744" s="1414">
        <f t="shared" si="20"/>
        <v>1</v>
      </c>
      <c r="CL744" s="1264"/>
      <c r="CM744" s="1381">
        <f t="shared" si="21"/>
        <v>2</v>
      </c>
      <c r="CN744" s="1264"/>
      <c r="CO744" s="3"/>
      <c r="CP744" s="1379">
        <f t="shared" si="22"/>
        <v>0</v>
      </c>
      <c r="CQ744" s="1263"/>
      <c r="CR744" s="1263"/>
      <c r="CS744" s="1263"/>
      <c r="CT744" s="1264"/>
      <c r="CU744" s="1379">
        <f t="shared" si="23"/>
        <v>0</v>
      </c>
      <c r="CV744" s="1263"/>
      <c r="CW744" s="1263"/>
      <c r="CX744" s="1263"/>
      <c r="CY744" s="1264"/>
      <c r="CZ744" s="1379">
        <f t="shared" si="24"/>
        <v>0</v>
      </c>
      <c r="DA744" s="1263"/>
      <c r="DB744" s="1263"/>
      <c r="DC744" s="1263"/>
      <c r="DD744" s="1264"/>
      <c r="DE744" s="1379">
        <f t="shared" si="25"/>
        <v>2</v>
      </c>
      <c r="DF744" s="1263"/>
      <c r="DG744" s="1263"/>
      <c r="DH744" s="1263"/>
      <c r="DI744" s="1264"/>
      <c r="DJ744" s="1379">
        <f t="shared" si="26"/>
        <v>0</v>
      </c>
      <c r="DK744" s="1263"/>
      <c r="DL744" s="1263"/>
      <c r="DM744" s="1263"/>
      <c r="DN744" s="1264"/>
      <c r="DO744" s="1379">
        <f t="shared" si="27"/>
        <v>0</v>
      </c>
      <c r="DP744" s="1263"/>
      <c r="DQ744" s="1263"/>
      <c r="DR744" s="1263"/>
      <c r="DS744" s="1264"/>
      <c r="DT744" s="6"/>
      <c r="DU744" s="1377">
        <f t="shared" si="28"/>
        <v>0</v>
      </c>
      <c r="DV744" s="1263"/>
      <c r="DW744" s="1263"/>
      <c r="DX744" s="1263"/>
      <c r="DY744" s="1264"/>
      <c r="DZ744" s="1377">
        <f t="shared" si="29"/>
        <v>0</v>
      </c>
      <c r="EA744" s="1263"/>
      <c r="EB744" s="1263"/>
      <c r="EC744" s="1263"/>
      <c r="ED744" s="1264"/>
      <c r="EE744" s="1377">
        <f t="shared" si="30"/>
        <v>0</v>
      </c>
      <c r="EF744" s="1263"/>
      <c r="EG744" s="1263"/>
      <c r="EH744" s="1263"/>
      <c r="EI744" s="1264"/>
      <c r="EJ744" s="1377">
        <f t="shared" si="31"/>
        <v>2</v>
      </c>
      <c r="EK744" s="1263"/>
      <c r="EL744" s="1263"/>
      <c r="EM744" s="1263"/>
      <c r="EN744" s="1264"/>
      <c r="EO744" s="1377">
        <f t="shared" si="32"/>
        <v>0</v>
      </c>
      <c r="EP744" s="1263"/>
      <c r="EQ744" s="1263"/>
      <c r="ER744" s="1263"/>
      <c r="ES744" s="1264"/>
      <c r="ET744" s="1377">
        <f t="shared" si="33"/>
        <v>0</v>
      </c>
      <c r="EU744" s="1263"/>
      <c r="EV744" s="1263"/>
      <c r="EW744" s="1263"/>
      <c r="EX744" s="1264"/>
      <c r="EZ744" s="1414" t="str">
        <f t="shared" si="34"/>
        <v/>
      </c>
      <c r="FA744" s="1263"/>
      <c r="FB744" s="1263"/>
      <c r="FC744" s="1263"/>
      <c r="FD744" s="1264"/>
      <c r="FE744" s="1414" t="str">
        <f t="shared" si="35"/>
        <v/>
      </c>
      <c r="FF744" s="1263"/>
      <c r="FG744" s="1263"/>
      <c r="FH744" s="1263"/>
      <c r="FI744" s="1264"/>
      <c r="FJ744" s="1414" t="str">
        <f t="shared" si="36"/>
        <v/>
      </c>
      <c r="FK744" s="1263"/>
      <c r="FL744" s="1263"/>
      <c r="FM744" s="1263"/>
      <c r="FN744" s="1264"/>
      <c r="FO744" s="1414">
        <f t="shared" si="37"/>
        <v>1105</v>
      </c>
      <c r="FP744" s="1263"/>
      <c r="FQ744" s="1263"/>
      <c r="FR744" s="1263"/>
      <c r="FS744" s="1264"/>
      <c r="FT744" s="1414" t="str">
        <f t="shared" si="38"/>
        <v/>
      </c>
      <c r="FU744" s="1263"/>
      <c r="FV744" s="1263"/>
      <c r="FW744" s="1263"/>
      <c r="FX744" s="1264"/>
      <c r="FY744" s="1414" t="str">
        <f t="shared" si="39"/>
        <v/>
      </c>
      <c r="FZ744" s="1263"/>
      <c r="GA744" s="1263"/>
      <c r="GB744" s="1263"/>
      <c r="GC744" s="1264"/>
    </row>
    <row r="745" spans="1:185" ht="12.9" customHeight="1">
      <c r="B745" s="1392" t="s">
        <v>957</v>
      </c>
      <c r="C745" s="1374"/>
      <c r="D745" s="1374"/>
      <c r="E745" s="1374"/>
      <c r="F745" s="1375"/>
      <c r="G745" s="1420">
        <v>4</v>
      </c>
      <c r="H745" s="1374"/>
      <c r="I745" s="1374"/>
      <c r="J745" s="1375"/>
      <c r="K745" s="1406"/>
      <c r="L745" s="1374"/>
      <c r="M745" s="1374"/>
      <c r="N745" s="1375"/>
      <c r="O745" s="1376">
        <v>1893</v>
      </c>
      <c r="P745" s="1374"/>
      <c r="Q745" s="1374"/>
      <c r="R745" s="1374"/>
      <c r="S745" s="1375"/>
      <c r="T745" s="1376">
        <v>76</v>
      </c>
      <c r="U745" s="1374"/>
      <c r="V745" s="1374"/>
      <c r="W745" s="1375"/>
      <c r="X745" s="1424">
        <f t="shared" si="9"/>
        <v>1969</v>
      </c>
      <c r="Y745" s="1263"/>
      <c r="Z745" s="1263"/>
      <c r="AA745" s="1263"/>
      <c r="AB745" s="1264"/>
      <c r="AC745" s="1398">
        <v>0.5</v>
      </c>
      <c r="AD745" s="1374"/>
      <c r="AE745" s="1374"/>
      <c r="AF745" s="1374"/>
      <c r="AG745" s="1375"/>
      <c r="AH745" s="1441">
        <f t="shared" si="10"/>
        <v>0.5</v>
      </c>
      <c r="AI745" s="1417"/>
      <c r="AJ745" s="1423"/>
      <c r="AK745" s="1392" t="s">
        <v>935</v>
      </c>
      <c r="AL745" s="1374"/>
      <c r="AM745" s="1374"/>
      <c r="AN745" s="1374"/>
      <c r="AO745" s="1375"/>
      <c r="AP745" s="3"/>
      <c r="AQ745" s="3"/>
      <c r="AR745" s="3"/>
      <c r="AS745" s="3"/>
      <c r="AY745" s="1078"/>
      <c r="AZ745" s="118">
        <f t="shared" si="11"/>
        <v>3938</v>
      </c>
      <c r="BA745" s="3"/>
      <c r="BB745" s="3"/>
      <c r="BC745" s="3"/>
      <c r="BD745" s="3"/>
      <c r="BE745" s="204"/>
      <c r="BF745" s="294">
        <f t="shared" si="12"/>
        <v>4</v>
      </c>
      <c r="BG745" s="297">
        <f t="shared" si="13"/>
        <v>6.25E-2</v>
      </c>
      <c r="BH745" s="298">
        <f t="shared" si="14"/>
        <v>3.125E-2</v>
      </c>
      <c r="BI745" s="3"/>
      <c r="BJ745" s="3"/>
      <c r="BK745" s="3"/>
      <c r="BL745" s="3"/>
      <c r="BM745" s="3"/>
      <c r="BN745" s="3"/>
      <c r="BS745" s="294">
        <f t="shared" si="15"/>
        <v>4</v>
      </c>
      <c r="BT745" s="297">
        <f t="shared" si="16"/>
        <v>6.25E-2</v>
      </c>
      <c r="BU745" s="298">
        <f t="shared" si="17"/>
        <v>3.125E-2</v>
      </c>
      <c r="BV745" s="3"/>
      <c r="BW745" s="3"/>
      <c r="BX745" s="3"/>
      <c r="BY745" s="3"/>
      <c r="BZ745" s="3"/>
      <c r="CA745" s="3"/>
      <c r="CB745" s="3"/>
      <c r="CC745" s="3"/>
      <c r="CE745" s="3"/>
      <c r="CF745" s="3"/>
      <c r="CG745" s="1414">
        <f t="shared" si="18"/>
        <v>1</v>
      </c>
      <c r="CH745" s="1264"/>
      <c r="CI745" s="1381">
        <f t="shared" si="19"/>
        <v>4</v>
      </c>
      <c r="CJ745" s="1264"/>
      <c r="CK745" s="1414">
        <f t="shared" si="20"/>
        <v>0</v>
      </c>
      <c r="CL745" s="1264"/>
      <c r="CM745" s="1381">
        <f t="shared" si="21"/>
        <v>0</v>
      </c>
      <c r="CN745" s="1264"/>
      <c r="CO745" s="3"/>
      <c r="CP745" s="1379">
        <f t="shared" si="22"/>
        <v>0</v>
      </c>
      <c r="CQ745" s="1263"/>
      <c r="CR745" s="1263"/>
      <c r="CS745" s="1263"/>
      <c r="CT745" s="1264"/>
      <c r="CU745" s="1379">
        <f t="shared" si="23"/>
        <v>0</v>
      </c>
      <c r="CV745" s="1263"/>
      <c r="CW745" s="1263"/>
      <c r="CX745" s="1263"/>
      <c r="CY745" s="1264"/>
      <c r="CZ745" s="1379">
        <f t="shared" si="24"/>
        <v>0</v>
      </c>
      <c r="DA745" s="1263"/>
      <c r="DB745" s="1263"/>
      <c r="DC745" s="1263"/>
      <c r="DD745" s="1264"/>
      <c r="DE745" s="1379">
        <f t="shared" si="25"/>
        <v>4</v>
      </c>
      <c r="DF745" s="1263"/>
      <c r="DG745" s="1263"/>
      <c r="DH745" s="1263"/>
      <c r="DI745" s="1264"/>
      <c r="DJ745" s="1379">
        <f t="shared" si="26"/>
        <v>0</v>
      </c>
      <c r="DK745" s="1263"/>
      <c r="DL745" s="1263"/>
      <c r="DM745" s="1263"/>
      <c r="DN745" s="1264"/>
      <c r="DO745" s="1379">
        <f t="shared" si="27"/>
        <v>0</v>
      </c>
      <c r="DP745" s="1263"/>
      <c r="DQ745" s="1263"/>
      <c r="DR745" s="1263"/>
      <c r="DS745" s="1264"/>
      <c r="DT745" s="6"/>
      <c r="DU745" s="1377">
        <f t="shared" si="28"/>
        <v>0</v>
      </c>
      <c r="DV745" s="1263"/>
      <c r="DW745" s="1263"/>
      <c r="DX745" s="1263"/>
      <c r="DY745" s="1264"/>
      <c r="DZ745" s="1377">
        <f t="shared" si="29"/>
        <v>0</v>
      </c>
      <c r="EA745" s="1263"/>
      <c r="EB745" s="1263"/>
      <c r="EC745" s="1263"/>
      <c r="ED745" s="1264"/>
      <c r="EE745" s="1377">
        <f t="shared" si="30"/>
        <v>0</v>
      </c>
      <c r="EF745" s="1263"/>
      <c r="EG745" s="1263"/>
      <c r="EH745" s="1263"/>
      <c r="EI745" s="1264"/>
      <c r="EJ745" s="1377">
        <f t="shared" si="31"/>
        <v>0</v>
      </c>
      <c r="EK745" s="1263"/>
      <c r="EL745" s="1263"/>
      <c r="EM745" s="1263"/>
      <c r="EN745" s="1264"/>
      <c r="EO745" s="1377">
        <f t="shared" si="32"/>
        <v>0</v>
      </c>
      <c r="EP745" s="1263"/>
      <c r="EQ745" s="1263"/>
      <c r="ER745" s="1263"/>
      <c r="ES745" s="1264"/>
      <c r="ET745" s="1377">
        <f t="shared" si="33"/>
        <v>0</v>
      </c>
      <c r="EU745" s="1263"/>
      <c r="EV745" s="1263"/>
      <c r="EW745" s="1263"/>
      <c r="EX745" s="1264"/>
      <c r="EZ745" s="1414" t="str">
        <f t="shared" si="34"/>
        <v/>
      </c>
      <c r="FA745" s="1263"/>
      <c r="FB745" s="1263"/>
      <c r="FC745" s="1263"/>
      <c r="FD745" s="1264"/>
      <c r="FE745" s="1414" t="str">
        <f t="shared" si="35"/>
        <v/>
      </c>
      <c r="FF745" s="1263"/>
      <c r="FG745" s="1263"/>
      <c r="FH745" s="1263"/>
      <c r="FI745" s="1264"/>
      <c r="FJ745" s="1414" t="str">
        <f t="shared" si="36"/>
        <v/>
      </c>
      <c r="FK745" s="1263"/>
      <c r="FL745" s="1263"/>
      <c r="FM745" s="1263"/>
      <c r="FN745" s="1264"/>
      <c r="FO745" s="1414">
        <f t="shared" si="37"/>
        <v>1893</v>
      </c>
      <c r="FP745" s="1263"/>
      <c r="FQ745" s="1263"/>
      <c r="FR745" s="1263"/>
      <c r="FS745" s="1264"/>
      <c r="FT745" s="1414" t="str">
        <f t="shared" si="38"/>
        <v/>
      </c>
      <c r="FU745" s="1263"/>
      <c r="FV745" s="1263"/>
      <c r="FW745" s="1263"/>
      <c r="FX745" s="1264"/>
      <c r="FY745" s="1414" t="str">
        <f t="shared" si="39"/>
        <v/>
      </c>
      <c r="FZ745" s="1263"/>
      <c r="GA745" s="1263"/>
      <c r="GB745" s="1263"/>
      <c r="GC745" s="1264"/>
    </row>
    <row r="746" spans="1:185" ht="12.9" customHeight="1">
      <c r="B746" s="1392" t="s">
        <v>957</v>
      </c>
      <c r="C746" s="1374"/>
      <c r="D746" s="1374"/>
      <c r="E746" s="1374"/>
      <c r="F746" s="1375"/>
      <c r="G746" s="1420">
        <v>8</v>
      </c>
      <c r="H746" s="1374"/>
      <c r="I746" s="1374"/>
      <c r="J746" s="1375"/>
      <c r="K746" s="1406"/>
      <c r="L746" s="1374"/>
      <c r="M746" s="1374"/>
      <c r="N746" s="1375"/>
      <c r="O746" s="1376">
        <v>1499</v>
      </c>
      <c r="P746" s="1374"/>
      <c r="Q746" s="1374"/>
      <c r="R746" s="1374"/>
      <c r="S746" s="1375"/>
      <c r="T746" s="1376">
        <v>76</v>
      </c>
      <c r="U746" s="1374"/>
      <c r="V746" s="1374"/>
      <c r="W746" s="1375"/>
      <c r="X746" s="1424">
        <f t="shared" si="9"/>
        <v>1575</v>
      </c>
      <c r="Y746" s="1263"/>
      <c r="Z746" s="1263"/>
      <c r="AA746" s="1263"/>
      <c r="AB746" s="1264"/>
      <c r="AC746" s="1398">
        <v>0.4</v>
      </c>
      <c r="AD746" s="1374"/>
      <c r="AE746" s="1374"/>
      <c r="AF746" s="1374"/>
      <c r="AG746" s="1375"/>
      <c r="AH746" s="1441">
        <f t="shared" si="10"/>
        <v>0.39994921279837481</v>
      </c>
      <c r="AI746" s="1417"/>
      <c r="AJ746" s="1423"/>
      <c r="AK746" s="1392" t="s">
        <v>935</v>
      </c>
      <c r="AL746" s="1374"/>
      <c r="AM746" s="1374"/>
      <c r="AN746" s="1374"/>
      <c r="AO746" s="1375"/>
      <c r="AP746" s="3"/>
      <c r="AQ746" s="3"/>
      <c r="AR746" s="3"/>
      <c r="AS746" s="3"/>
      <c r="AY746" s="1078"/>
      <c r="AZ746" s="118">
        <f t="shared" si="11"/>
        <v>3938</v>
      </c>
      <c r="BA746" s="3"/>
      <c r="BE746" s="204"/>
      <c r="BF746" s="294">
        <f t="shared" si="12"/>
        <v>8</v>
      </c>
      <c r="BG746" s="297">
        <f t="shared" si="13"/>
        <v>0.125</v>
      </c>
      <c r="BH746" s="298">
        <f t="shared" si="14"/>
        <v>0.05</v>
      </c>
      <c r="BK746" s="3"/>
      <c r="BL746" s="3"/>
      <c r="BM746" s="3"/>
      <c r="BN746" s="3"/>
      <c r="BS746" s="294">
        <f t="shared" si="15"/>
        <v>8</v>
      </c>
      <c r="BT746" s="297">
        <f t="shared" si="16"/>
        <v>0.125</v>
      </c>
      <c r="BU746" s="298">
        <f t="shared" si="17"/>
        <v>4.9993651599796851E-2</v>
      </c>
      <c r="BV746" s="3"/>
      <c r="BW746" s="3"/>
      <c r="BX746" s="3"/>
      <c r="BY746" s="3"/>
      <c r="BZ746" s="3"/>
      <c r="CA746" s="3"/>
      <c r="CB746" s="3"/>
      <c r="CC746" s="3"/>
      <c r="CE746" s="3"/>
      <c r="CF746" s="3"/>
      <c r="CG746" s="1414">
        <f t="shared" si="18"/>
        <v>1</v>
      </c>
      <c r="CH746" s="1264"/>
      <c r="CI746" s="1381">
        <f t="shared" si="19"/>
        <v>8</v>
      </c>
      <c r="CJ746" s="1264"/>
      <c r="CK746" s="1414">
        <f t="shared" si="20"/>
        <v>0</v>
      </c>
      <c r="CL746" s="1264"/>
      <c r="CM746" s="1381">
        <f t="shared" si="21"/>
        <v>0</v>
      </c>
      <c r="CN746" s="1264"/>
      <c r="CO746" s="3"/>
      <c r="CP746" s="1379">
        <f t="shared" si="22"/>
        <v>0</v>
      </c>
      <c r="CQ746" s="1263"/>
      <c r="CR746" s="1263"/>
      <c r="CS746" s="1263"/>
      <c r="CT746" s="1264"/>
      <c r="CU746" s="1379">
        <f t="shared" si="23"/>
        <v>0</v>
      </c>
      <c r="CV746" s="1263"/>
      <c r="CW746" s="1263"/>
      <c r="CX746" s="1263"/>
      <c r="CY746" s="1264"/>
      <c r="CZ746" s="1379">
        <f t="shared" si="24"/>
        <v>0</v>
      </c>
      <c r="DA746" s="1263"/>
      <c r="DB746" s="1263"/>
      <c r="DC746" s="1263"/>
      <c r="DD746" s="1264"/>
      <c r="DE746" s="1379">
        <f t="shared" si="25"/>
        <v>8</v>
      </c>
      <c r="DF746" s="1263"/>
      <c r="DG746" s="1263"/>
      <c r="DH746" s="1263"/>
      <c r="DI746" s="1264"/>
      <c r="DJ746" s="1379">
        <f t="shared" si="26"/>
        <v>0</v>
      </c>
      <c r="DK746" s="1263"/>
      <c r="DL746" s="1263"/>
      <c r="DM746" s="1263"/>
      <c r="DN746" s="1264"/>
      <c r="DO746" s="1379">
        <f t="shared" si="27"/>
        <v>0</v>
      </c>
      <c r="DP746" s="1263"/>
      <c r="DQ746" s="1263"/>
      <c r="DR746" s="1263"/>
      <c r="DS746" s="1264"/>
      <c r="DT746" s="6"/>
      <c r="DU746" s="1377">
        <f t="shared" si="28"/>
        <v>0</v>
      </c>
      <c r="DV746" s="1263"/>
      <c r="DW746" s="1263"/>
      <c r="DX746" s="1263"/>
      <c r="DY746" s="1264"/>
      <c r="DZ746" s="1377">
        <f t="shared" si="29"/>
        <v>0</v>
      </c>
      <c r="EA746" s="1263"/>
      <c r="EB746" s="1263"/>
      <c r="EC746" s="1263"/>
      <c r="ED746" s="1264"/>
      <c r="EE746" s="1377">
        <f t="shared" si="30"/>
        <v>0</v>
      </c>
      <c r="EF746" s="1263"/>
      <c r="EG746" s="1263"/>
      <c r="EH746" s="1263"/>
      <c r="EI746" s="1264"/>
      <c r="EJ746" s="1377">
        <f t="shared" si="31"/>
        <v>0</v>
      </c>
      <c r="EK746" s="1263"/>
      <c r="EL746" s="1263"/>
      <c r="EM746" s="1263"/>
      <c r="EN746" s="1264"/>
      <c r="EO746" s="1377">
        <f t="shared" si="32"/>
        <v>0</v>
      </c>
      <c r="EP746" s="1263"/>
      <c r="EQ746" s="1263"/>
      <c r="ER746" s="1263"/>
      <c r="ES746" s="1264"/>
      <c r="ET746" s="1377">
        <f t="shared" si="33"/>
        <v>0</v>
      </c>
      <c r="EU746" s="1263"/>
      <c r="EV746" s="1263"/>
      <c r="EW746" s="1263"/>
      <c r="EX746" s="1264"/>
      <c r="EZ746" s="1414" t="str">
        <f t="shared" si="34"/>
        <v/>
      </c>
      <c r="FA746" s="1263"/>
      <c r="FB746" s="1263"/>
      <c r="FC746" s="1263"/>
      <c r="FD746" s="1264"/>
      <c r="FE746" s="1414" t="str">
        <f t="shared" si="35"/>
        <v/>
      </c>
      <c r="FF746" s="1263"/>
      <c r="FG746" s="1263"/>
      <c r="FH746" s="1263"/>
      <c r="FI746" s="1264"/>
      <c r="FJ746" s="1414" t="str">
        <f t="shared" si="36"/>
        <v/>
      </c>
      <c r="FK746" s="1263"/>
      <c r="FL746" s="1263"/>
      <c r="FM746" s="1263"/>
      <c r="FN746" s="1264"/>
      <c r="FO746" s="1414">
        <f t="shared" si="37"/>
        <v>1499</v>
      </c>
      <c r="FP746" s="1263"/>
      <c r="FQ746" s="1263"/>
      <c r="FR746" s="1263"/>
      <c r="FS746" s="1264"/>
      <c r="FT746" s="1414" t="str">
        <f t="shared" si="38"/>
        <v/>
      </c>
      <c r="FU746" s="1263"/>
      <c r="FV746" s="1263"/>
      <c r="FW746" s="1263"/>
      <c r="FX746" s="1264"/>
      <c r="FY746" s="1414" t="str">
        <f t="shared" si="39"/>
        <v/>
      </c>
      <c r="FZ746" s="1263"/>
      <c r="GA746" s="1263"/>
      <c r="GB746" s="1263"/>
      <c r="GC746" s="1264"/>
    </row>
    <row r="747" spans="1:185" ht="12.9" customHeight="1">
      <c r="B747" s="1392" t="s">
        <v>957</v>
      </c>
      <c r="C747" s="1374"/>
      <c r="D747" s="1374"/>
      <c r="E747" s="1374"/>
      <c r="F747" s="1375"/>
      <c r="G747" s="1420">
        <v>4</v>
      </c>
      <c r="H747" s="1374"/>
      <c r="I747" s="1374"/>
      <c r="J747" s="1375"/>
      <c r="K747" s="1406"/>
      <c r="L747" s="1374"/>
      <c r="M747" s="1374"/>
      <c r="N747" s="1375"/>
      <c r="O747" s="1376">
        <v>2286</v>
      </c>
      <c r="P747" s="1374"/>
      <c r="Q747" s="1374"/>
      <c r="R747" s="1374"/>
      <c r="S747" s="1375"/>
      <c r="T747" s="1376">
        <v>76</v>
      </c>
      <c r="U747" s="1374"/>
      <c r="V747" s="1374"/>
      <c r="W747" s="1375"/>
      <c r="X747" s="1424">
        <f t="shared" si="9"/>
        <v>2362</v>
      </c>
      <c r="Y747" s="1263"/>
      <c r="Z747" s="1263"/>
      <c r="AA747" s="1263"/>
      <c r="AB747" s="1264"/>
      <c r="AC747" s="1398">
        <v>0.6</v>
      </c>
      <c r="AD747" s="1374"/>
      <c r="AE747" s="1374"/>
      <c r="AF747" s="1374"/>
      <c r="AG747" s="1375"/>
      <c r="AH747" s="1441">
        <f t="shared" si="10"/>
        <v>0.59979685119349924</v>
      </c>
      <c r="AI747" s="1417"/>
      <c r="AJ747" s="1423"/>
      <c r="AK747" s="1392" t="s">
        <v>935</v>
      </c>
      <c r="AL747" s="1374"/>
      <c r="AM747" s="1374"/>
      <c r="AN747" s="1374"/>
      <c r="AO747" s="1375"/>
      <c r="AP747" s="3"/>
      <c r="AQ747" s="3"/>
      <c r="AR747" s="3"/>
      <c r="AS747" s="3"/>
      <c r="AY747" s="1078"/>
      <c r="AZ747" s="118">
        <f t="shared" si="11"/>
        <v>3938</v>
      </c>
      <c r="BA747" s="3"/>
      <c r="BE747" s="204"/>
      <c r="BF747" s="294">
        <f t="shared" si="12"/>
        <v>4</v>
      </c>
      <c r="BG747" s="297">
        <f t="shared" si="13"/>
        <v>6.25E-2</v>
      </c>
      <c r="BH747" s="298">
        <f t="shared" si="14"/>
        <v>3.7499999999999999E-2</v>
      </c>
      <c r="BK747" s="3"/>
      <c r="BL747" s="3"/>
      <c r="BM747" s="3"/>
      <c r="BN747" s="3"/>
      <c r="BS747" s="294">
        <f t="shared" si="15"/>
        <v>4</v>
      </c>
      <c r="BT747" s="297">
        <f t="shared" si="16"/>
        <v>6.25E-2</v>
      </c>
      <c r="BU747" s="298">
        <f t="shared" si="17"/>
        <v>3.7487303199593702E-2</v>
      </c>
      <c r="BV747" s="3"/>
      <c r="BW747" s="3"/>
      <c r="BX747" s="3"/>
      <c r="BY747" s="3"/>
      <c r="BZ747" s="3"/>
      <c r="CA747" s="3"/>
      <c r="CB747" s="3"/>
      <c r="CC747" s="3"/>
      <c r="CE747" s="3"/>
      <c r="CF747" s="3"/>
      <c r="CG747" s="1414">
        <f t="shared" si="18"/>
        <v>0</v>
      </c>
      <c r="CH747" s="1264"/>
      <c r="CI747" s="1381">
        <f t="shared" si="19"/>
        <v>0</v>
      </c>
      <c r="CJ747" s="1264"/>
      <c r="CK747" s="1414">
        <f t="shared" si="20"/>
        <v>0</v>
      </c>
      <c r="CL747" s="1264"/>
      <c r="CM747" s="1381">
        <f t="shared" si="21"/>
        <v>0</v>
      </c>
      <c r="CN747" s="1264"/>
      <c r="CO747" s="3"/>
      <c r="CP747" s="1379">
        <f t="shared" si="22"/>
        <v>0</v>
      </c>
      <c r="CQ747" s="1263"/>
      <c r="CR747" s="1263"/>
      <c r="CS747" s="1263"/>
      <c r="CT747" s="1264"/>
      <c r="CU747" s="1379">
        <f t="shared" si="23"/>
        <v>0</v>
      </c>
      <c r="CV747" s="1263"/>
      <c r="CW747" s="1263"/>
      <c r="CX747" s="1263"/>
      <c r="CY747" s="1264"/>
      <c r="CZ747" s="1379">
        <f t="shared" si="24"/>
        <v>0</v>
      </c>
      <c r="DA747" s="1263"/>
      <c r="DB747" s="1263"/>
      <c r="DC747" s="1263"/>
      <c r="DD747" s="1264"/>
      <c r="DE747" s="1379">
        <f t="shared" si="25"/>
        <v>4</v>
      </c>
      <c r="DF747" s="1263"/>
      <c r="DG747" s="1263"/>
      <c r="DH747" s="1263"/>
      <c r="DI747" s="1264"/>
      <c r="DJ747" s="1379">
        <f t="shared" si="26"/>
        <v>0</v>
      </c>
      <c r="DK747" s="1263"/>
      <c r="DL747" s="1263"/>
      <c r="DM747" s="1263"/>
      <c r="DN747" s="1264"/>
      <c r="DO747" s="1379">
        <f t="shared" si="27"/>
        <v>0</v>
      </c>
      <c r="DP747" s="1263"/>
      <c r="DQ747" s="1263"/>
      <c r="DR747" s="1263"/>
      <c r="DS747" s="1264"/>
      <c r="DT747" s="6"/>
      <c r="DU747" s="1377">
        <f t="shared" si="28"/>
        <v>0</v>
      </c>
      <c r="DV747" s="1263"/>
      <c r="DW747" s="1263"/>
      <c r="DX747" s="1263"/>
      <c r="DY747" s="1264"/>
      <c r="DZ747" s="1377">
        <f t="shared" si="29"/>
        <v>0</v>
      </c>
      <c r="EA747" s="1263"/>
      <c r="EB747" s="1263"/>
      <c r="EC747" s="1263"/>
      <c r="ED747" s="1264"/>
      <c r="EE747" s="1377">
        <f t="shared" si="30"/>
        <v>0</v>
      </c>
      <c r="EF747" s="1263"/>
      <c r="EG747" s="1263"/>
      <c r="EH747" s="1263"/>
      <c r="EI747" s="1264"/>
      <c r="EJ747" s="1377">
        <f t="shared" si="31"/>
        <v>0</v>
      </c>
      <c r="EK747" s="1263"/>
      <c r="EL747" s="1263"/>
      <c r="EM747" s="1263"/>
      <c r="EN747" s="1264"/>
      <c r="EO747" s="1377">
        <f t="shared" si="32"/>
        <v>0</v>
      </c>
      <c r="EP747" s="1263"/>
      <c r="EQ747" s="1263"/>
      <c r="ER747" s="1263"/>
      <c r="ES747" s="1264"/>
      <c r="ET747" s="1377">
        <f t="shared" si="33"/>
        <v>0</v>
      </c>
      <c r="EU747" s="1263"/>
      <c r="EV747" s="1263"/>
      <c r="EW747" s="1263"/>
      <c r="EX747" s="1264"/>
      <c r="EZ747" s="1414" t="str">
        <f t="shared" si="34"/>
        <v/>
      </c>
      <c r="FA747" s="1263"/>
      <c r="FB747" s="1263"/>
      <c r="FC747" s="1263"/>
      <c r="FD747" s="1264"/>
      <c r="FE747" s="1414" t="str">
        <f t="shared" si="35"/>
        <v/>
      </c>
      <c r="FF747" s="1263"/>
      <c r="FG747" s="1263"/>
      <c r="FH747" s="1263"/>
      <c r="FI747" s="1264"/>
      <c r="FJ747" s="1414" t="str">
        <f t="shared" si="36"/>
        <v/>
      </c>
      <c r="FK747" s="1263"/>
      <c r="FL747" s="1263"/>
      <c r="FM747" s="1263"/>
      <c r="FN747" s="1264"/>
      <c r="FO747" s="1414">
        <f t="shared" si="37"/>
        <v>2286</v>
      </c>
      <c r="FP747" s="1263"/>
      <c r="FQ747" s="1263"/>
      <c r="FR747" s="1263"/>
      <c r="FS747" s="1264"/>
      <c r="FT747" s="1414" t="str">
        <f t="shared" si="38"/>
        <v/>
      </c>
      <c r="FU747" s="1263"/>
      <c r="FV747" s="1263"/>
      <c r="FW747" s="1263"/>
      <c r="FX747" s="1264"/>
      <c r="FY747" s="1414" t="str">
        <f t="shared" si="39"/>
        <v/>
      </c>
      <c r="FZ747" s="1263"/>
      <c r="GA747" s="1263"/>
      <c r="GB747" s="1263"/>
      <c r="GC747" s="1264"/>
    </row>
    <row r="748" spans="1:185" ht="12.9" customHeight="1">
      <c r="B748" s="1392" t="s">
        <v>958</v>
      </c>
      <c r="C748" s="1374"/>
      <c r="D748" s="1374"/>
      <c r="E748" s="1374"/>
      <c r="F748" s="1375"/>
      <c r="G748" s="1420">
        <v>1</v>
      </c>
      <c r="H748" s="1374"/>
      <c r="I748" s="1374"/>
      <c r="J748" s="1375"/>
      <c r="K748" s="1406"/>
      <c r="L748" s="1374"/>
      <c r="M748" s="1374"/>
      <c r="N748" s="1375"/>
      <c r="O748" s="1376">
        <v>1220</v>
      </c>
      <c r="P748" s="1374"/>
      <c r="Q748" s="1374"/>
      <c r="R748" s="1374"/>
      <c r="S748" s="1375"/>
      <c r="T748" s="1376">
        <v>97</v>
      </c>
      <c r="U748" s="1374"/>
      <c r="V748" s="1374"/>
      <c r="W748" s="1375"/>
      <c r="X748" s="1424">
        <f t="shared" si="9"/>
        <v>1317</v>
      </c>
      <c r="Y748" s="1263"/>
      <c r="Z748" s="1263"/>
      <c r="AA748" s="1263"/>
      <c r="AB748" s="1264"/>
      <c r="AC748" s="1398">
        <v>0.3</v>
      </c>
      <c r="AD748" s="1374"/>
      <c r="AE748" s="1374"/>
      <c r="AF748" s="1374"/>
      <c r="AG748" s="1375"/>
      <c r="AH748" s="1441">
        <f t="shared" si="10"/>
        <v>0.2998633879781421</v>
      </c>
      <c r="AI748" s="1417"/>
      <c r="AJ748" s="1423"/>
      <c r="AK748" s="1392" t="s">
        <v>935</v>
      </c>
      <c r="AL748" s="1374"/>
      <c r="AM748" s="1374"/>
      <c r="AN748" s="1374"/>
      <c r="AO748" s="1375"/>
      <c r="AP748" s="3"/>
      <c r="AQ748" s="3"/>
      <c r="AR748" s="3"/>
      <c r="AS748" s="3"/>
      <c r="AY748" s="1078"/>
      <c r="AZ748" s="118">
        <f t="shared" si="11"/>
        <v>4392</v>
      </c>
      <c r="BA748" s="3"/>
      <c r="BE748" s="204"/>
      <c r="BF748" s="294">
        <f t="shared" si="12"/>
        <v>1</v>
      </c>
      <c r="BG748" s="297">
        <f t="shared" si="13"/>
        <v>1.5625E-2</v>
      </c>
      <c r="BH748" s="298">
        <f t="shared" si="14"/>
        <v>4.6874999999999998E-3</v>
      </c>
      <c r="BK748" s="3"/>
      <c r="BL748" s="3"/>
      <c r="BM748" s="3"/>
      <c r="BN748" s="3"/>
      <c r="BS748" s="294">
        <f t="shared" si="15"/>
        <v>1</v>
      </c>
      <c r="BT748" s="297">
        <f t="shared" si="16"/>
        <v>1.5625E-2</v>
      </c>
      <c r="BU748" s="298">
        <f t="shared" si="17"/>
        <v>4.6853654371584704E-3</v>
      </c>
      <c r="BV748" s="3"/>
      <c r="BW748" s="3"/>
      <c r="BX748" s="3"/>
      <c r="BY748" s="3"/>
      <c r="BZ748" s="3"/>
      <c r="CA748" s="3"/>
      <c r="CB748" s="3"/>
      <c r="CC748" s="3"/>
      <c r="CE748" s="3"/>
      <c r="CF748" s="3"/>
      <c r="CG748" s="1414">
        <f t="shared" si="18"/>
        <v>0</v>
      </c>
      <c r="CH748" s="1264"/>
      <c r="CI748" s="1381">
        <f t="shared" si="19"/>
        <v>0</v>
      </c>
      <c r="CJ748" s="1264"/>
      <c r="CK748" s="1414">
        <f t="shared" si="20"/>
        <v>1</v>
      </c>
      <c r="CL748" s="1264"/>
      <c r="CM748" s="1381">
        <f t="shared" si="21"/>
        <v>1</v>
      </c>
      <c r="CN748" s="1264"/>
      <c r="CO748" s="3"/>
      <c r="CP748" s="1379">
        <f t="shared" si="22"/>
        <v>0</v>
      </c>
      <c r="CQ748" s="1263"/>
      <c r="CR748" s="1263"/>
      <c r="CS748" s="1263"/>
      <c r="CT748" s="1264"/>
      <c r="CU748" s="1379">
        <f t="shared" si="23"/>
        <v>0</v>
      </c>
      <c r="CV748" s="1263"/>
      <c r="CW748" s="1263"/>
      <c r="CX748" s="1263"/>
      <c r="CY748" s="1264"/>
      <c r="CZ748" s="1379">
        <f t="shared" si="24"/>
        <v>0</v>
      </c>
      <c r="DA748" s="1263"/>
      <c r="DB748" s="1263"/>
      <c r="DC748" s="1263"/>
      <c r="DD748" s="1264"/>
      <c r="DE748" s="1379">
        <f t="shared" si="25"/>
        <v>0</v>
      </c>
      <c r="DF748" s="1263"/>
      <c r="DG748" s="1263"/>
      <c r="DH748" s="1263"/>
      <c r="DI748" s="1264"/>
      <c r="DJ748" s="1379">
        <f t="shared" si="26"/>
        <v>1</v>
      </c>
      <c r="DK748" s="1263"/>
      <c r="DL748" s="1263"/>
      <c r="DM748" s="1263"/>
      <c r="DN748" s="1264"/>
      <c r="DO748" s="1379">
        <f t="shared" si="27"/>
        <v>0</v>
      </c>
      <c r="DP748" s="1263"/>
      <c r="DQ748" s="1263"/>
      <c r="DR748" s="1263"/>
      <c r="DS748" s="1264"/>
      <c r="DT748" s="6"/>
      <c r="DU748" s="1377">
        <f t="shared" si="28"/>
        <v>0</v>
      </c>
      <c r="DV748" s="1263"/>
      <c r="DW748" s="1263"/>
      <c r="DX748" s="1263"/>
      <c r="DY748" s="1264"/>
      <c r="DZ748" s="1377">
        <f t="shared" si="29"/>
        <v>0</v>
      </c>
      <c r="EA748" s="1263"/>
      <c r="EB748" s="1263"/>
      <c r="EC748" s="1263"/>
      <c r="ED748" s="1264"/>
      <c r="EE748" s="1377">
        <f t="shared" si="30"/>
        <v>0</v>
      </c>
      <c r="EF748" s="1263"/>
      <c r="EG748" s="1263"/>
      <c r="EH748" s="1263"/>
      <c r="EI748" s="1264"/>
      <c r="EJ748" s="1377">
        <f t="shared" si="31"/>
        <v>0</v>
      </c>
      <c r="EK748" s="1263"/>
      <c r="EL748" s="1263"/>
      <c r="EM748" s="1263"/>
      <c r="EN748" s="1264"/>
      <c r="EO748" s="1377">
        <f t="shared" si="32"/>
        <v>1</v>
      </c>
      <c r="EP748" s="1263"/>
      <c r="EQ748" s="1263"/>
      <c r="ER748" s="1263"/>
      <c r="ES748" s="1264"/>
      <c r="ET748" s="1377">
        <f t="shared" si="33"/>
        <v>0</v>
      </c>
      <c r="EU748" s="1263"/>
      <c r="EV748" s="1263"/>
      <c r="EW748" s="1263"/>
      <c r="EX748" s="1264"/>
      <c r="EZ748" s="1414" t="str">
        <f t="shared" si="34"/>
        <v/>
      </c>
      <c r="FA748" s="1263"/>
      <c r="FB748" s="1263"/>
      <c r="FC748" s="1263"/>
      <c r="FD748" s="1264"/>
      <c r="FE748" s="1414" t="str">
        <f t="shared" si="35"/>
        <v/>
      </c>
      <c r="FF748" s="1263"/>
      <c r="FG748" s="1263"/>
      <c r="FH748" s="1263"/>
      <c r="FI748" s="1264"/>
      <c r="FJ748" s="1414" t="str">
        <f t="shared" si="36"/>
        <v/>
      </c>
      <c r="FK748" s="1263"/>
      <c r="FL748" s="1263"/>
      <c r="FM748" s="1263"/>
      <c r="FN748" s="1264"/>
      <c r="FO748" s="1414" t="str">
        <f t="shared" si="37"/>
        <v/>
      </c>
      <c r="FP748" s="1263"/>
      <c r="FQ748" s="1263"/>
      <c r="FR748" s="1263"/>
      <c r="FS748" s="1264"/>
      <c r="FT748" s="1414">
        <f t="shared" si="38"/>
        <v>1220</v>
      </c>
      <c r="FU748" s="1263"/>
      <c r="FV748" s="1263"/>
      <c r="FW748" s="1263"/>
      <c r="FX748" s="1264"/>
      <c r="FY748" s="1414" t="str">
        <f t="shared" si="39"/>
        <v/>
      </c>
      <c r="FZ748" s="1263"/>
      <c r="GA748" s="1263"/>
      <c r="GB748" s="1263"/>
      <c r="GC748" s="1264"/>
    </row>
    <row r="749" spans="1:185" ht="12.9" customHeight="1">
      <c r="B749" s="1392" t="s">
        <v>958</v>
      </c>
      <c r="C749" s="1374"/>
      <c r="D749" s="1374"/>
      <c r="E749" s="1374"/>
      <c r="F749" s="1375"/>
      <c r="G749" s="1420">
        <v>4</v>
      </c>
      <c r="H749" s="1374"/>
      <c r="I749" s="1374"/>
      <c r="J749" s="1375"/>
      <c r="K749" s="1406"/>
      <c r="L749" s="1374"/>
      <c r="M749" s="1374"/>
      <c r="N749" s="1375"/>
      <c r="O749" s="1376">
        <v>2099</v>
      </c>
      <c r="P749" s="1374"/>
      <c r="Q749" s="1374"/>
      <c r="R749" s="1374"/>
      <c r="S749" s="1375"/>
      <c r="T749" s="1376">
        <v>97</v>
      </c>
      <c r="U749" s="1374"/>
      <c r="V749" s="1374"/>
      <c r="W749" s="1375"/>
      <c r="X749" s="1424">
        <f t="shared" si="9"/>
        <v>2196</v>
      </c>
      <c r="Y749" s="1263"/>
      <c r="Z749" s="1263"/>
      <c r="AA749" s="1263"/>
      <c r="AB749" s="1264"/>
      <c r="AC749" s="1398">
        <v>0.5</v>
      </c>
      <c r="AD749" s="1374"/>
      <c r="AE749" s="1374"/>
      <c r="AF749" s="1374"/>
      <c r="AG749" s="1375"/>
      <c r="AH749" s="1441">
        <f t="shared" si="10"/>
        <v>0.5</v>
      </c>
      <c r="AI749" s="1417"/>
      <c r="AJ749" s="1423"/>
      <c r="AK749" s="1392" t="s">
        <v>935</v>
      </c>
      <c r="AL749" s="1374"/>
      <c r="AM749" s="1374"/>
      <c r="AN749" s="1374"/>
      <c r="AO749" s="1375"/>
      <c r="AP749" s="3"/>
      <c r="AQ749" s="3"/>
      <c r="AR749" s="3"/>
      <c r="AS749" s="3"/>
      <c r="AY749" s="1078"/>
      <c r="AZ749" s="118">
        <f t="shared" si="11"/>
        <v>4392</v>
      </c>
      <c r="BA749" s="3"/>
      <c r="BE749" s="204"/>
      <c r="BF749" s="294">
        <f t="shared" si="12"/>
        <v>4</v>
      </c>
      <c r="BG749" s="297">
        <f t="shared" si="13"/>
        <v>6.25E-2</v>
      </c>
      <c r="BH749" s="298">
        <f t="shared" si="14"/>
        <v>3.125E-2</v>
      </c>
      <c r="BK749" s="3"/>
      <c r="BL749" s="3"/>
      <c r="BM749" s="3"/>
      <c r="BN749" s="3"/>
      <c r="BS749" s="294">
        <f t="shared" si="15"/>
        <v>4</v>
      </c>
      <c r="BT749" s="297">
        <f t="shared" si="16"/>
        <v>6.25E-2</v>
      </c>
      <c r="BU749" s="298">
        <f t="shared" si="17"/>
        <v>3.125E-2</v>
      </c>
      <c r="BV749" s="3"/>
      <c r="BW749" s="3"/>
      <c r="BX749" s="3"/>
      <c r="BY749" s="3"/>
      <c r="BZ749" s="3"/>
      <c r="CA749" s="3"/>
      <c r="CB749" s="3"/>
      <c r="CC749" s="3"/>
      <c r="CE749" s="3"/>
      <c r="CF749" s="3"/>
      <c r="CG749" s="1414">
        <f t="shared" si="18"/>
        <v>1</v>
      </c>
      <c r="CH749" s="1264"/>
      <c r="CI749" s="1381">
        <f t="shared" si="19"/>
        <v>4</v>
      </c>
      <c r="CJ749" s="1264"/>
      <c r="CK749" s="1414">
        <f t="shared" si="20"/>
        <v>0</v>
      </c>
      <c r="CL749" s="1264"/>
      <c r="CM749" s="1381">
        <f t="shared" si="21"/>
        <v>0</v>
      </c>
      <c r="CN749" s="1264"/>
      <c r="CO749" s="3"/>
      <c r="CP749" s="1379">
        <f t="shared" si="22"/>
        <v>0</v>
      </c>
      <c r="CQ749" s="1263"/>
      <c r="CR749" s="1263"/>
      <c r="CS749" s="1263"/>
      <c r="CT749" s="1264"/>
      <c r="CU749" s="1379">
        <f t="shared" si="23"/>
        <v>0</v>
      </c>
      <c r="CV749" s="1263"/>
      <c r="CW749" s="1263"/>
      <c r="CX749" s="1263"/>
      <c r="CY749" s="1264"/>
      <c r="CZ749" s="1379">
        <f t="shared" si="24"/>
        <v>0</v>
      </c>
      <c r="DA749" s="1263"/>
      <c r="DB749" s="1263"/>
      <c r="DC749" s="1263"/>
      <c r="DD749" s="1264"/>
      <c r="DE749" s="1379">
        <f t="shared" si="25"/>
        <v>0</v>
      </c>
      <c r="DF749" s="1263"/>
      <c r="DG749" s="1263"/>
      <c r="DH749" s="1263"/>
      <c r="DI749" s="1264"/>
      <c r="DJ749" s="1379">
        <f t="shared" si="26"/>
        <v>4</v>
      </c>
      <c r="DK749" s="1263"/>
      <c r="DL749" s="1263"/>
      <c r="DM749" s="1263"/>
      <c r="DN749" s="1264"/>
      <c r="DO749" s="1379">
        <f t="shared" si="27"/>
        <v>0</v>
      </c>
      <c r="DP749" s="1263"/>
      <c r="DQ749" s="1263"/>
      <c r="DR749" s="1263"/>
      <c r="DS749" s="1264"/>
      <c r="DT749" s="6"/>
      <c r="DU749" s="1377">
        <f t="shared" si="28"/>
        <v>0</v>
      </c>
      <c r="DV749" s="1263"/>
      <c r="DW749" s="1263"/>
      <c r="DX749" s="1263"/>
      <c r="DY749" s="1264"/>
      <c r="DZ749" s="1377">
        <f t="shared" si="29"/>
        <v>0</v>
      </c>
      <c r="EA749" s="1263"/>
      <c r="EB749" s="1263"/>
      <c r="EC749" s="1263"/>
      <c r="ED749" s="1264"/>
      <c r="EE749" s="1377">
        <f t="shared" si="30"/>
        <v>0</v>
      </c>
      <c r="EF749" s="1263"/>
      <c r="EG749" s="1263"/>
      <c r="EH749" s="1263"/>
      <c r="EI749" s="1264"/>
      <c r="EJ749" s="1377">
        <f t="shared" si="31"/>
        <v>0</v>
      </c>
      <c r="EK749" s="1263"/>
      <c r="EL749" s="1263"/>
      <c r="EM749" s="1263"/>
      <c r="EN749" s="1264"/>
      <c r="EO749" s="1377">
        <f t="shared" si="32"/>
        <v>0</v>
      </c>
      <c r="EP749" s="1263"/>
      <c r="EQ749" s="1263"/>
      <c r="ER749" s="1263"/>
      <c r="ES749" s="1264"/>
      <c r="ET749" s="1377">
        <f t="shared" si="33"/>
        <v>0</v>
      </c>
      <c r="EU749" s="1263"/>
      <c r="EV749" s="1263"/>
      <c r="EW749" s="1263"/>
      <c r="EX749" s="1264"/>
      <c r="EZ749" s="1414" t="str">
        <f t="shared" si="34"/>
        <v/>
      </c>
      <c r="FA749" s="1263"/>
      <c r="FB749" s="1263"/>
      <c r="FC749" s="1263"/>
      <c r="FD749" s="1264"/>
      <c r="FE749" s="1414" t="str">
        <f t="shared" si="35"/>
        <v/>
      </c>
      <c r="FF749" s="1263"/>
      <c r="FG749" s="1263"/>
      <c r="FH749" s="1263"/>
      <c r="FI749" s="1264"/>
      <c r="FJ749" s="1414" t="str">
        <f t="shared" si="36"/>
        <v/>
      </c>
      <c r="FK749" s="1263"/>
      <c r="FL749" s="1263"/>
      <c r="FM749" s="1263"/>
      <c r="FN749" s="1264"/>
      <c r="FO749" s="1414" t="str">
        <f t="shared" si="37"/>
        <v/>
      </c>
      <c r="FP749" s="1263"/>
      <c r="FQ749" s="1263"/>
      <c r="FR749" s="1263"/>
      <c r="FS749" s="1264"/>
      <c r="FT749" s="1414">
        <f t="shared" si="38"/>
        <v>2099</v>
      </c>
      <c r="FU749" s="1263"/>
      <c r="FV749" s="1263"/>
      <c r="FW749" s="1263"/>
      <c r="FX749" s="1264"/>
      <c r="FY749" s="1414" t="str">
        <f t="shared" si="39"/>
        <v/>
      </c>
      <c r="FZ749" s="1263"/>
      <c r="GA749" s="1263"/>
      <c r="GB749" s="1263"/>
      <c r="GC749" s="1264"/>
    </row>
    <row r="750" spans="1:185" ht="12.9" customHeight="1">
      <c r="B750" s="1392" t="s">
        <v>958</v>
      </c>
      <c r="C750" s="1374"/>
      <c r="D750" s="1374"/>
      <c r="E750" s="1374"/>
      <c r="F750" s="1375"/>
      <c r="G750" s="1420">
        <v>1</v>
      </c>
      <c r="H750" s="1374"/>
      <c r="I750" s="1374"/>
      <c r="J750" s="1375"/>
      <c r="K750" s="1406"/>
      <c r="L750" s="1374"/>
      <c r="M750" s="1374"/>
      <c r="N750" s="1375"/>
      <c r="O750" s="1376">
        <v>2538</v>
      </c>
      <c r="P750" s="1374"/>
      <c r="Q750" s="1374"/>
      <c r="R750" s="1374"/>
      <c r="S750" s="1375"/>
      <c r="T750" s="1376">
        <v>97</v>
      </c>
      <c r="U750" s="1374"/>
      <c r="V750" s="1374"/>
      <c r="W750" s="1375"/>
      <c r="X750" s="1424">
        <f t="shared" si="9"/>
        <v>2635</v>
      </c>
      <c r="Y750" s="1263"/>
      <c r="Z750" s="1263"/>
      <c r="AA750" s="1263"/>
      <c r="AB750" s="1264"/>
      <c r="AC750" s="1398">
        <v>0.6</v>
      </c>
      <c r="AD750" s="1374"/>
      <c r="AE750" s="1374"/>
      <c r="AF750" s="1374"/>
      <c r="AG750" s="1375"/>
      <c r="AH750" s="1441">
        <f t="shared" si="10"/>
        <v>0.59995446265938068</v>
      </c>
      <c r="AI750" s="1417"/>
      <c r="AJ750" s="1423"/>
      <c r="AK750" s="1392" t="s">
        <v>935</v>
      </c>
      <c r="AL750" s="1374"/>
      <c r="AM750" s="1374"/>
      <c r="AN750" s="1374"/>
      <c r="AO750" s="1375"/>
      <c r="AP750" s="3"/>
      <c r="AQ750" s="3"/>
      <c r="AR750" s="3"/>
      <c r="AS750" s="3"/>
      <c r="AY750" s="1078"/>
      <c r="AZ750" s="118">
        <f t="shared" si="11"/>
        <v>4392</v>
      </c>
      <c r="BA750" s="3"/>
      <c r="BB750" s="3"/>
      <c r="BE750" s="204"/>
      <c r="BF750" s="294">
        <f t="shared" si="12"/>
        <v>1</v>
      </c>
      <c r="BG750" s="297">
        <f t="shared" si="13"/>
        <v>1.5625E-2</v>
      </c>
      <c r="BH750" s="298">
        <f t="shared" si="14"/>
        <v>9.3749999999999997E-3</v>
      </c>
      <c r="BL750" s="3"/>
      <c r="BM750" s="3"/>
      <c r="BN750" s="3"/>
      <c r="BS750" s="294">
        <f t="shared" si="15"/>
        <v>1</v>
      </c>
      <c r="BT750" s="297">
        <f t="shared" si="16"/>
        <v>1.5625E-2</v>
      </c>
      <c r="BU750" s="298">
        <f t="shared" si="17"/>
        <v>9.3742884790528232E-3</v>
      </c>
      <c r="BV750" s="3"/>
      <c r="BW750" s="3"/>
      <c r="BX750" s="3"/>
      <c r="BY750" s="3"/>
      <c r="BZ750" s="3"/>
      <c r="CA750" s="3"/>
      <c r="CB750" s="3"/>
      <c r="CC750" s="3"/>
      <c r="CE750" s="3"/>
      <c r="CF750" s="3"/>
      <c r="CG750" s="1414">
        <f t="shared" si="18"/>
        <v>0</v>
      </c>
      <c r="CH750" s="1264"/>
      <c r="CI750" s="1381">
        <f t="shared" si="19"/>
        <v>0</v>
      </c>
      <c r="CJ750" s="1264"/>
      <c r="CK750" s="1414">
        <f t="shared" si="20"/>
        <v>0</v>
      </c>
      <c r="CL750" s="1264"/>
      <c r="CM750" s="1381">
        <f t="shared" si="21"/>
        <v>0</v>
      </c>
      <c r="CN750" s="1264"/>
      <c r="CO750" s="3"/>
      <c r="CP750" s="1379">
        <f t="shared" si="22"/>
        <v>0</v>
      </c>
      <c r="CQ750" s="1263"/>
      <c r="CR750" s="1263"/>
      <c r="CS750" s="1263"/>
      <c r="CT750" s="1264"/>
      <c r="CU750" s="1379">
        <f t="shared" si="23"/>
        <v>0</v>
      </c>
      <c r="CV750" s="1263"/>
      <c r="CW750" s="1263"/>
      <c r="CX750" s="1263"/>
      <c r="CY750" s="1264"/>
      <c r="CZ750" s="1379">
        <f t="shared" si="24"/>
        <v>0</v>
      </c>
      <c r="DA750" s="1263"/>
      <c r="DB750" s="1263"/>
      <c r="DC750" s="1263"/>
      <c r="DD750" s="1264"/>
      <c r="DE750" s="1379">
        <f t="shared" si="25"/>
        <v>0</v>
      </c>
      <c r="DF750" s="1263"/>
      <c r="DG750" s="1263"/>
      <c r="DH750" s="1263"/>
      <c r="DI750" s="1264"/>
      <c r="DJ750" s="1379">
        <f t="shared" si="26"/>
        <v>1</v>
      </c>
      <c r="DK750" s="1263"/>
      <c r="DL750" s="1263"/>
      <c r="DM750" s="1263"/>
      <c r="DN750" s="1264"/>
      <c r="DO750" s="1379">
        <f t="shared" si="27"/>
        <v>0</v>
      </c>
      <c r="DP750" s="1263"/>
      <c r="DQ750" s="1263"/>
      <c r="DR750" s="1263"/>
      <c r="DS750" s="1264"/>
      <c r="DT750" s="6"/>
      <c r="DU750" s="1377">
        <f t="shared" si="28"/>
        <v>0</v>
      </c>
      <c r="DV750" s="1263"/>
      <c r="DW750" s="1263"/>
      <c r="DX750" s="1263"/>
      <c r="DY750" s="1264"/>
      <c r="DZ750" s="1377">
        <f t="shared" si="29"/>
        <v>0</v>
      </c>
      <c r="EA750" s="1263"/>
      <c r="EB750" s="1263"/>
      <c r="EC750" s="1263"/>
      <c r="ED750" s="1264"/>
      <c r="EE750" s="1377">
        <f t="shared" si="30"/>
        <v>0</v>
      </c>
      <c r="EF750" s="1263"/>
      <c r="EG750" s="1263"/>
      <c r="EH750" s="1263"/>
      <c r="EI750" s="1264"/>
      <c r="EJ750" s="1377">
        <f t="shared" si="31"/>
        <v>0</v>
      </c>
      <c r="EK750" s="1263"/>
      <c r="EL750" s="1263"/>
      <c r="EM750" s="1263"/>
      <c r="EN750" s="1264"/>
      <c r="EO750" s="1377">
        <f t="shared" si="32"/>
        <v>0</v>
      </c>
      <c r="EP750" s="1263"/>
      <c r="EQ750" s="1263"/>
      <c r="ER750" s="1263"/>
      <c r="ES750" s="1264"/>
      <c r="ET750" s="1377">
        <f t="shared" si="33"/>
        <v>0</v>
      </c>
      <c r="EU750" s="1263"/>
      <c r="EV750" s="1263"/>
      <c r="EW750" s="1263"/>
      <c r="EX750" s="1264"/>
      <c r="EZ750" s="1414" t="str">
        <f t="shared" si="34"/>
        <v/>
      </c>
      <c r="FA750" s="1263"/>
      <c r="FB750" s="1263"/>
      <c r="FC750" s="1263"/>
      <c r="FD750" s="1264"/>
      <c r="FE750" s="1414" t="str">
        <f t="shared" si="35"/>
        <v/>
      </c>
      <c r="FF750" s="1263"/>
      <c r="FG750" s="1263"/>
      <c r="FH750" s="1263"/>
      <c r="FI750" s="1264"/>
      <c r="FJ750" s="1414" t="str">
        <f t="shared" si="36"/>
        <v/>
      </c>
      <c r="FK750" s="1263"/>
      <c r="FL750" s="1263"/>
      <c r="FM750" s="1263"/>
      <c r="FN750" s="1264"/>
      <c r="FO750" s="1414" t="str">
        <f t="shared" si="37"/>
        <v/>
      </c>
      <c r="FP750" s="1263"/>
      <c r="FQ750" s="1263"/>
      <c r="FR750" s="1263"/>
      <c r="FS750" s="1264"/>
      <c r="FT750" s="1414">
        <f t="shared" si="38"/>
        <v>2538</v>
      </c>
      <c r="FU750" s="1263"/>
      <c r="FV750" s="1263"/>
      <c r="FW750" s="1263"/>
      <c r="FX750" s="1264"/>
      <c r="FY750" s="1414" t="str">
        <f t="shared" si="39"/>
        <v/>
      </c>
      <c r="FZ750" s="1263"/>
      <c r="GA750" s="1263"/>
      <c r="GB750" s="1263"/>
      <c r="GC750" s="1264"/>
    </row>
    <row r="751" spans="1:185" s="3" customFormat="1" ht="12.9" customHeight="1">
      <c r="B751" s="1392"/>
      <c r="C751" s="1374"/>
      <c r="D751" s="1374"/>
      <c r="E751" s="1374"/>
      <c r="F751" s="1375"/>
      <c r="G751" s="1420"/>
      <c r="H751" s="1374"/>
      <c r="I751" s="1374"/>
      <c r="J751" s="1375"/>
      <c r="K751" s="1406"/>
      <c r="L751" s="1374"/>
      <c r="M751" s="1374"/>
      <c r="N751" s="1375"/>
      <c r="O751" s="1376"/>
      <c r="P751" s="1374"/>
      <c r="Q751" s="1374"/>
      <c r="R751" s="1374"/>
      <c r="S751" s="1375"/>
      <c r="T751" s="1376"/>
      <c r="U751" s="1374"/>
      <c r="V751" s="1374"/>
      <c r="W751" s="1375"/>
      <c r="X751" s="1424">
        <f t="shared" si="9"/>
        <v>0</v>
      </c>
      <c r="Y751" s="1263"/>
      <c r="Z751" s="1263"/>
      <c r="AA751" s="1263"/>
      <c r="AB751" s="1264"/>
      <c r="AC751" s="1398"/>
      <c r="AD751" s="1374"/>
      <c r="AE751" s="1374"/>
      <c r="AF751" s="1374"/>
      <c r="AG751" s="1375"/>
      <c r="AH751" s="1441" t="str">
        <f t="shared" si="10"/>
        <v/>
      </c>
      <c r="AI751" s="1417"/>
      <c r="AJ751" s="1423"/>
      <c r="AK751" s="1392" t="s">
        <v>935</v>
      </c>
      <c r="AL751" s="1374"/>
      <c r="AM751" s="1374"/>
      <c r="AN751" s="1374"/>
      <c r="AO751" s="1375"/>
      <c r="AY751" s="1078"/>
      <c r="AZ751" s="118" t="str">
        <f t="shared" si="11"/>
        <v>N/A</v>
      </c>
      <c r="BF751" s="294">
        <f t="shared" si="12"/>
        <v>0</v>
      </c>
      <c r="BG751" s="297">
        <f t="shared" si="13"/>
        <v>0</v>
      </c>
      <c r="BH751" s="298" t="str">
        <f t="shared" si="14"/>
        <v/>
      </c>
      <c r="BS751" s="294">
        <f t="shared" si="15"/>
        <v>0</v>
      </c>
      <c r="BT751" s="297">
        <f t="shared" si="16"/>
        <v>0</v>
      </c>
      <c r="BU751" s="298" t="str">
        <f t="shared" si="17"/>
        <v/>
      </c>
      <c r="CG751" s="1414">
        <f t="shared" si="18"/>
        <v>0</v>
      </c>
      <c r="CH751" s="1264"/>
      <c r="CI751" s="1381">
        <f t="shared" si="19"/>
        <v>0</v>
      </c>
      <c r="CJ751" s="1264"/>
      <c r="CK751" s="1414">
        <f t="shared" si="20"/>
        <v>0</v>
      </c>
      <c r="CL751" s="1264"/>
      <c r="CM751" s="1381">
        <f t="shared" si="21"/>
        <v>0</v>
      </c>
      <c r="CN751" s="1264"/>
      <c r="CP751" s="1379">
        <f t="shared" si="22"/>
        <v>0</v>
      </c>
      <c r="CQ751" s="1263"/>
      <c r="CR751" s="1263"/>
      <c r="CS751" s="1263"/>
      <c r="CT751" s="1264"/>
      <c r="CU751" s="1379">
        <f t="shared" si="23"/>
        <v>0</v>
      </c>
      <c r="CV751" s="1263"/>
      <c r="CW751" s="1263"/>
      <c r="CX751" s="1263"/>
      <c r="CY751" s="1264"/>
      <c r="CZ751" s="1379">
        <f t="shared" si="24"/>
        <v>0</v>
      </c>
      <c r="DA751" s="1263"/>
      <c r="DB751" s="1263"/>
      <c r="DC751" s="1263"/>
      <c r="DD751" s="1264"/>
      <c r="DE751" s="1379">
        <f t="shared" si="25"/>
        <v>0</v>
      </c>
      <c r="DF751" s="1263"/>
      <c r="DG751" s="1263"/>
      <c r="DH751" s="1263"/>
      <c r="DI751" s="1264"/>
      <c r="DJ751" s="1379">
        <f t="shared" si="26"/>
        <v>0</v>
      </c>
      <c r="DK751" s="1263"/>
      <c r="DL751" s="1263"/>
      <c r="DM751" s="1263"/>
      <c r="DN751" s="1264"/>
      <c r="DO751" s="1379">
        <f t="shared" si="27"/>
        <v>0</v>
      </c>
      <c r="DP751" s="1263"/>
      <c r="DQ751" s="1263"/>
      <c r="DR751" s="1263"/>
      <c r="DS751" s="1264"/>
      <c r="DT751" s="6"/>
      <c r="DU751" s="1377">
        <f t="shared" si="28"/>
        <v>0</v>
      </c>
      <c r="DV751" s="1263"/>
      <c r="DW751" s="1263"/>
      <c r="DX751" s="1263"/>
      <c r="DY751" s="1264"/>
      <c r="DZ751" s="1377">
        <f t="shared" si="29"/>
        <v>0</v>
      </c>
      <c r="EA751" s="1263"/>
      <c r="EB751" s="1263"/>
      <c r="EC751" s="1263"/>
      <c r="ED751" s="1264"/>
      <c r="EE751" s="1377">
        <f t="shared" si="30"/>
        <v>0</v>
      </c>
      <c r="EF751" s="1263"/>
      <c r="EG751" s="1263"/>
      <c r="EH751" s="1263"/>
      <c r="EI751" s="1264"/>
      <c r="EJ751" s="1377">
        <f t="shared" si="31"/>
        <v>0</v>
      </c>
      <c r="EK751" s="1263"/>
      <c r="EL751" s="1263"/>
      <c r="EM751" s="1263"/>
      <c r="EN751" s="1264"/>
      <c r="EO751" s="1377">
        <f t="shared" si="32"/>
        <v>0</v>
      </c>
      <c r="EP751" s="1263"/>
      <c r="EQ751" s="1263"/>
      <c r="ER751" s="1263"/>
      <c r="ES751" s="1264"/>
      <c r="ET751" s="1377">
        <f t="shared" si="33"/>
        <v>0</v>
      </c>
      <c r="EU751" s="1263"/>
      <c r="EV751" s="1263"/>
      <c r="EW751" s="1263"/>
      <c r="EX751" s="1264"/>
      <c r="EZ751" s="1414" t="str">
        <f t="shared" si="34"/>
        <v/>
      </c>
      <c r="FA751" s="1263"/>
      <c r="FB751" s="1263"/>
      <c r="FC751" s="1263"/>
      <c r="FD751" s="1264"/>
      <c r="FE751" s="1414" t="str">
        <f t="shared" si="35"/>
        <v/>
      </c>
      <c r="FF751" s="1263"/>
      <c r="FG751" s="1263"/>
      <c r="FH751" s="1263"/>
      <c r="FI751" s="1264"/>
      <c r="FJ751" s="1414" t="str">
        <f t="shared" si="36"/>
        <v/>
      </c>
      <c r="FK751" s="1263"/>
      <c r="FL751" s="1263"/>
      <c r="FM751" s="1263"/>
      <c r="FN751" s="1264"/>
      <c r="FO751" s="1414" t="str">
        <f t="shared" si="37"/>
        <v/>
      </c>
      <c r="FP751" s="1263"/>
      <c r="FQ751" s="1263"/>
      <c r="FR751" s="1263"/>
      <c r="FS751" s="1264"/>
      <c r="FT751" s="1414" t="str">
        <f t="shared" si="38"/>
        <v/>
      </c>
      <c r="FU751" s="1263"/>
      <c r="FV751" s="1263"/>
      <c r="FW751" s="1263"/>
      <c r="FX751" s="1264"/>
      <c r="FY751" s="1414" t="str">
        <f t="shared" si="39"/>
        <v/>
      </c>
      <c r="FZ751" s="1263"/>
      <c r="GA751" s="1263"/>
      <c r="GB751" s="1263"/>
      <c r="GC751" s="1264"/>
    </row>
    <row r="752" spans="1:185" ht="12.9" customHeight="1">
      <c r="B752" s="1392"/>
      <c r="C752" s="1374"/>
      <c r="D752" s="1374"/>
      <c r="E752" s="1374"/>
      <c r="F752" s="1375"/>
      <c r="G752" s="1420"/>
      <c r="H752" s="1374"/>
      <c r="I752" s="1374"/>
      <c r="J752" s="1375"/>
      <c r="K752" s="1406"/>
      <c r="L752" s="1374"/>
      <c r="M752" s="1374"/>
      <c r="N752" s="1375"/>
      <c r="O752" s="1376"/>
      <c r="P752" s="1374"/>
      <c r="Q752" s="1374"/>
      <c r="R752" s="1374"/>
      <c r="S752" s="1375"/>
      <c r="T752" s="1376"/>
      <c r="U752" s="1374"/>
      <c r="V752" s="1374"/>
      <c r="W752" s="1375"/>
      <c r="X752" s="1424">
        <f t="shared" si="9"/>
        <v>0</v>
      </c>
      <c r="Y752" s="1263"/>
      <c r="Z752" s="1263"/>
      <c r="AA752" s="1263"/>
      <c r="AB752" s="1264"/>
      <c r="AC752" s="1398"/>
      <c r="AD752" s="1374"/>
      <c r="AE752" s="1374"/>
      <c r="AF752" s="1374"/>
      <c r="AG752" s="1375"/>
      <c r="AH752" s="1441" t="str">
        <f t="shared" si="10"/>
        <v/>
      </c>
      <c r="AI752" s="1417"/>
      <c r="AJ752" s="1423"/>
      <c r="AK752" s="1392" t="s">
        <v>935</v>
      </c>
      <c r="AL752" s="1374"/>
      <c r="AM752" s="1374"/>
      <c r="AN752" s="1374"/>
      <c r="AO752" s="1375"/>
      <c r="AP752" s="3"/>
      <c r="AQ752" s="3"/>
      <c r="AR752" s="3"/>
      <c r="AS752" s="3"/>
      <c r="AY752" s="1078"/>
      <c r="AZ752" s="118" t="str">
        <f t="shared" si="11"/>
        <v>N/A</v>
      </c>
      <c r="BA752" s="3"/>
      <c r="BB752" s="3"/>
      <c r="BC752" s="3"/>
      <c r="BD752" s="3"/>
      <c r="BE752" s="3"/>
      <c r="BF752" s="294">
        <f t="shared" si="12"/>
        <v>0</v>
      </c>
      <c r="BG752" s="297">
        <f t="shared" si="13"/>
        <v>0</v>
      </c>
      <c r="BH752" s="298" t="str">
        <f t="shared" si="14"/>
        <v/>
      </c>
      <c r="BI752" s="3"/>
      <c r="BJ752" s="3"/>
      <c r="BK752" s="3"/>
      <c r="BL752" s="3"/>
      <c r="BM752" s="3"/>
      <c r="BN752" s="3"/>
      <c r="BS752" s="294">
        <f t="shared" si="15"/>
        <v>0</v>
      </c>
      <c r="BT752" s="297">
        <f t="shared" si="16"/>
        <v>0</v>
      </c>
      <c r="BU752" s="298" t="str">
        <f t="shared" si="17"/>
        <v/>
      </c>
      <c r="BV752" s="3"/>
      <c r="BW752" s="3"/>
      <c r="BX752" s="3"/>
      <c r="BY752" s="3"/>
      <c r="BZ752" s="3"/>
      <c r="CA752" s="3"/>
      <c r="CB752" s="3"/>
      <c r="CC752" s="3"/>
      <c r="CE752" s="3"/>
      <c r="CF752" s="3"/>
      <c r="CG752" s="1414">
        <f t="shared" si="18"/>
        <v>0</v>
      </c>
      <c r="CH752" s="1264"/>
      <c r="CI752" s="1381">
        <f t="shared" si="19"/>
        <v>0</v>
      </c>
      <c r="CJ752" s="1264"/>
      <c r="CK752" s="1414">
        <f t="shared" si="20"/>
        <v>0</v>
      </c>
      <c r="CL752" s="1264"/>
      <c r="CM752" s="1381">
        <f t="shared" si="21"/>
        <v>0</v>
      </c>
      <c r="CN752" s="1264"/>
      <c r="CO752" s="3"/>
      <c r="CP752" s="1379">
        <f t="shared" si="22"/>
        <v>0</v>
      </c>
      <c r="CQ752" s="1263"/>
      <c r="CR752" s="1263"/>
      <c r="CS752" s="1263"/>
      <c r="CT752" s="1264"/>
      <c r="CU752" s="1379">
        <f t="shared" si="23"/>
        <v>0</v>
      </c>
      <c r="CV752" s="1263"/>
      <c r="CW752" s="1263"/>
      <c r="CX752" s="1263"/>
      <c r="CY752" s="1264"/>
      <c r="CZ752" s="1379">
        <f t="shared" si="24"/>
        <v>0</v>
      </c>
      <c r="DA752" s="1263"/>
      <c r="DB752" s="1263"/>
      <c r="DC752" s="1263"/>
      <c r="DD752" s="1264"/>
      <c r="DE752" s="1379">
        <f t="shared" si="25"/>
        <v>0</v>
      </c>
      <c r="DF752" s="1263"/>
      <c r="DG752" s="1263"/>
      <c r="DH752" s="1263"/>
      <c r="DI752" s="1264"/>
      <c r="DJ752" s="1379">
        <f t="shared" si="26"/>
        <v>0</v>
      </c>
      <c r="DK752" s="1263"/>
      <c r="DL752" s="1263"/>
      <c r="DM752" s="1263"/>
      <c r="DN752" s="1264"/>
      <c r="DO752" s="1379">
        <f t="shared" si="27"/>
        <v>0</v>
      </c>
      <c r="DP752" s="1263"/>
      <c r="DQ752" s="1263"/>
      <c r="DR752" s="1263"/>
      <c r="DS752" s="1264"/>
      <c r="DT752" s="6"/>
      <c r="DU752" s="1377">
        <f t="shared" si="28"/>
        <v>0</v>
      </c>
      <c r="DV752" s="1263"/>
      <c r="DW752" s="1263"/>
      <c r="DX752" s="1263"/>
      <c r="DY752" s="1264"/>
      <c r="DZ752" s="1377">
        <f t="shared" si="29"/>
        <v>0</v>
      </c>
      <c r="EA752" s="1263"/>
      <c r="EB752" s="1263"/>
      <c r="EC752" s="1263"/>
      <c r="ED752" s="1264"/>
      <c r="EE752" s="1377">
        <f t="shared" si="30"/>
        <v>0</v>
      </c>
      <c r="EF752" s="1263"/>
      <c r="EG752" s="1263"/>
      <c r="EH752" s="1263"/>
      <c r="EI752" s="1264"/>
      <c r="EJ752" s="1377">
        <f t="shared" si="31"/>
        <v>0</v>
      </c>
      <c r="EK752" s="1263"/>
      <c r="EL752" s="1263"/>
      <c r="EM752" s="1263"/>
      <c r="EN752" s="1264"/>
      <c r="EO752" s="1377">
        <f t="shared" si="32"/>
        <v>0</v>
      </c>
      <c r="EP752" s="1263"/>
      <c r="EQ752" s="1263"/>
      <c r="ER752" s="1263"/>
      <c r="ES752" s="1264"/>
      <c r="ET752" s="1377">
        <f t="shared" si="33"/>
        <v>0</v>
      </c>
      <c r="EU752" s="1263"/>
      <c r="EV752" s="1263"/>
      <c r="EW752" s="1263"/>
      <c r="EX752" s="1264"/>
      <c r="EZ752" s="1414" t="str">
        <f t="shared" si="34"/>
        <v/>
      </c>
      <c r="FA752" s="1263"/>
      <c r="FB752" s="1263"/>
      <c r="FC752" s="1263"/>
      <c r="FD752" s="1264"/>
      <c r="FE752" s="1414" t="str">
        <f t="shared" si="35"/>
        <v/>
      </c>
      <c r="FF752" s="1263"/>
      <c r="FG752" s="1263"/>
      <c r="FH752" s="1263"/>
      <c r="FI752" s="1264"/>
      <c r="FJ752" s="1414" t="str">
        <f t="shared" si="36"/>
        <v/>
      </c>
      <c r="FK752" s="1263"/>
      <c r="FL752" s="1263"/>
      <c r="FM752" s="1263"/>
      <c r="FN752" s="1264"/>
      <c r="FO752" s="1414" t="str">
        <f t="shared" si="37"/>
        <v/>
      </c>
      <c r="FP752" s="1263"/>
      <c r="FQ752" s="1263"/>
      <c r="FR752" s="1263"/>
      <c r="FS752" s="1264"/>
      <c r="FT752" s="1414" t="str">
        <f t="shared" si="38"/>
        <v/>
      </c>
      <c r="FU752" s="1263"/>
      <c r="FV752" s="1263"/>
      <c r="FW752" s="1263"/>
      <c r="FX752" s="1264"/>
      <c r="FY752" s="1414" t="str">
        <f t="shared" si="39"/>
        <v/>
      </c>
      <c r="FZ752" s="1263"/>
      <c r="GA752" s="1263"/>
      <c r="GB752" s="1263"/>
      <c r="GC752" s="1264"/>
    </row>
    <row r="753" spans="1:185" ht="12.9" customHeight="1">
      <c r="B753" s="1392"/>
      <c r="C753" s="1374"/>
      <c r="D753" s="1374"/>
      <c r="E753" s="1374"/>
      <c r="F753" s="1375"/>
      <c r="G753" s="1420"/>
      <c r="H753" s="1374"/>
      <c r="I753" s="1374"/>
      <c r="J753" s="1375"/>
      <c r="K753" s="1406"/>
      <c r="L753" s="1374"/>
      <c r="M753" s="1374"/>
      <c r="N753" s="1375"/>
      <c r="O753" s="1376"/>
      <c r="P753" s="1374"/>
      <c r="Q753" s="1374"/>
      <c r="R753" s="1374"/>
      <c r="S753" s="1375"/>
      <c r="T753" s="1376"/>
      <c r="U753" s="1374"/>
      <c r="V753" s="1374"/>
      <c r="W753" s="1375"/>
      <c r="X753" s="1424">
        <f t="shared" si="9"/>
        <v>0</v>
      </c>
      <c r="Y753" s="1263"/>
      <c r="Z753" s="1263"/>
      <c r="AA753" s="1263"/>
      <c r="AB753" s="1264"/>
      <c r="AC753" s="1398"/>
      <c r="AD753" s="1374"/>
      <c r="AE753" s="1374"/>
      <c r="AF753" s="1374"/>
      <c r="AG753" s="1375"/>
      <c r="AH753" s="1441" t="str">
        <f t="shared" si="10"/>
        <v/>
      </c>
      <c r="AI753" s="1417"/>
      <c r="AJ753" s="1423"/>
      <c r="AK753" s="1392" t="s">
        <v>935</v>
      </c>
      <c r="AL753" s="1374"/>
      <c r="AM753" s="1374"/>
      <c r="AN753" s="1374"/>
      <c r="AO753" s="1375"/>
      <c r="AP753" s="3"/>
      <c r="AQ753" s="3"/>
      <c r="AR753" s="3"/>
      <c r="AS753" s="3"/>
      <c r="AY753" s="1078"/>
      <c r="AZ753" s="118" t="str">
        <f t="shared" si="11"/>
        <v>N/A</v>
      </c>
      <c r="BA753" s="3"/>
      <c r="BB753" s="3"/>
      <c r="BC753" s="3"/>
      <c r="BD753" s="3"/>
      <c r="BE753" s="3"/>
      <c r="BF753" s="294">
        <f t="shared" si="12"/>
        <v>0</v>
      </c>
      <c r="BG753" s="297">
        <f t="shared" si="13"/>
        <v>0</v>
      </c>
      <c r="BH753" s="298" t="str">
        <f t="shared" si="14"/>
        <v/>
      </c>
      <c r="BI753" s="3"/>
      <c r="BJ753" s="3"/>
      <c r="BK753" s="3"/>
      <c r="BL753" s="3"/>
      <c r="BM753" s="3"/>
      <c r="BN753" s="3"/>
      <c r="BS753" s="294">
        <f t="shared" si="15"/>
        <v>0</v>
      </c>
      <c r="BT753" s="297">
        <f t="shared" si="16"/>
        <v>0</v>
      </c>
      <c r="BU753" s="298" t="str">
        <f t="shared" si="17"/>
        <v/>
      </c>
      <c r="BV753" s="3"/>
      <c r="BW753" s="3"/>
      <c r="BX753" s="3"/>
      <c r="BY753" s="3"/>
      <c r="BZ753" s="3"/>
      <c r="CA753" s="3"/>
      <c r="CB753" s="3"/>
      <c r="CC753" s="3"/>
      <c r="CE753" s="3"/>
      <c r="CF753" s="3"/>
      <c r="CG753" s="1414">
        <f t="shared" si="18"/>
        <v>0</v>
      </c>
      <c r="CH753" s="1264"/>
      <c r="CI753" s="1381">
        <f t="shared" si="19"/>
        <v>0</v>
      </c>
      <c r="CJ753" s="1264"/>
      <c r="CK753" s="1414">
        <f t="shared" si="20"/>
        <v>0</v>
      </c>
      <c r="CL753" s="1264"/>
      <c r="CM753" s="1381">
        <f t="shared" si="21"/>
        <v>0</v>
      </c>
      <c r="CN753" s="1264"/>
      <c r="CO753" s="3"/>
      <c r="CP753" s="1379">
        <f t="shared" si="22"/>
        <v>0</v>
      </c>
      <c r="CQ753" s="1263"/>
      <c r="CR753" s="1263"/>
      <c r="CS753" s="1263"/>
      <c r="CT753" s="1264"/>
      <c r="CU753" s="1379">
        <f t="shared" si="23"/>
        <v>0</v>
      </c>
      <c r="CV753" s="1263"/>
      <c r="CW753" s="1263"/>
      <c r="CX753" s="1263"/>
      <c r="CY753" s="1264"/>
      <c r="CZ753" s="1379">
        <f t="shared" si="24"/>
        <v>0</v>
      </c>
      <c r="DA753" s="1263"/>
      <c r="DB753" s="1263"/>
      <c r="DC753" s="1263"/>
      <c r="DD753" s="1264"/>
      <c r="DE753" s="1379">
        <f t="shared" si="25"/>
        <v>0</v>
      </c>
      <c r="DF753" s="1263"/>
      <c r="DG753" s="1263"/>
      <c r="DH753" s="1263"/>
      <c r="DI753" s="1264"/>
      <c r="DJ753" s="1379">
        <f t="shared" si="26"/>
        <v>0</v>
      </c>
      <c r="DK753" s="1263"/>
      <c r="DL753" s="1263"/>
      <c r="DM753" s="1263"/>
      <c r="DN753" s="1264"/>
      <c r="DO753" s="1379">
        <f t="shared" si="27"/>
        <v>0</v>
      </c>
      <c r="DP753" s="1263"/>
      <c r="DQ753" s="1263"/>
      <c r="DR753" s="1263"/>
      <c r="DS753" s="1264"/>
      <c r="DT753" s="6"/>
      <c r="DU753" s="1377">
        <f t="shared" si="28"/>
        <v>0</v>
      </c>
      <c r="DV753" s="1263"/>
      <c r="DW753" s="1263"/>
      <c r="DX753" s="1263"/>
      <c r="DY753" s="1264"/>
      <c r="DZ753" s="1377">
        <f t="shared" si="29"/>
        <v>0</v>
      </c>
      <c r="EA753" s="1263"/>
      <c r="EB753" s="1263"/>
      <c r="EC753" s="1263"/>
      <c r="ED753" s="1264"/>
      <c r="EE753" s="1377">
        <f t="shared" si="30"/>
        <v>0</v>
      </c>
      <c r="EF753" s="1263"/>
      <c r="EG753" s="1263"/>
      <c r="EH753" s="1263"/>
      <c r="EI753" s="1264"/>
      <c r="EJ753" s="1377">
        <f t="shared" si="31"/>
        <v>0</v>
      </c>
      <c r="EK753" s="1263"/>
      <c r="EL753" s="1263"/>
      <c r="EM753" s="1263"/>
      <c r="EN753" s="1264"/>
      <c r="EO753" s="1377">
        <f t="shared" si="32"/>
        <v>0</v>
      </c>
      <c r="EP753" s="1263"/>
      <c r="EQ753" s="1263"/>
      <c r="ER753" s="1263"/>
      <c r="ES753" s="1264"/>
      <c r="ET753" s="1377">
        <f t="shared" si="33"/>
        <v>0</v>
      </c>
      <c r="EU753" s="1263"/>
      <c r="EV753" s="1263"/>
      <c r="EW753" s="1263"/>
      <c r="EX753" s="1264"/>
      <c r="EZ753" s="1414" t="str">
        <f t="shared" si="34"/>
        <v/>
      </c>
      <c r="FA753" s="1263"/>
      <c r="FB753" s="1263"/>
      <c r="FC753" s="1263"/>
      <c r="FD753" s="1264"/>
      <c r="FE753" s="1414" t="str">
        <f t="shared" si="35"/>
        <v/>
      </c>
      <c r="FF753" s="1263"/>
      <c r="FG753" s="1263"/>
      <c r="FH753" s="1263"/>
      <c r="FI753" s="1264"/>
      <c r="FJ753" s="1414" t="str">
        <f t="shared" si="36"/>
        <v/>
      </c>
      <c r="FK753" s="1263"/>
      <c r="FL753" s="1263"/>
      <c r="FM753" s="1263"/>
      <c r="FN753" s="1264"/>
      <c r="FO753" s="1414" t="str">
        <f t="shared" si="37"/>
        <v/>
      </c>
      <c r="FP753" s="1263"/>
      <c r="FQ753" s="1263"/>
      <c r="FR753" s="1263"/>
      <c r="FS753" s="1264"/>
      <c r="FT753" s="1414" t="str">
        <f t="shared" si="38"/>
        <v/>
      </c>
      <c r="FU753" s="1263"/>
      <c r="FV753" s="1263"/>
      <c r="FW753" s="1263"/>
      <c r="FX753" s="1264"/>
      <c r="FY753" s="1414" t="str">
        <f t="shared" si="39"/>
        <v/>
      </c>
      <c r="FZ753" s="1263"/>
      <c r="GA753" s="1263"/>
      <c r="GB753" s="1263"/>
      <c r="GC753" s="1264"/>
    </row>
    <row r="754" spans="1:185" ht="12.9" customHeight="1">
      <c r="B754" s="1392"/>
      <c r="C754" s="1374"/>
      <c r="D754" s="1374"/>
      <c r="E754" s="1374"/>
      <c r="F754" s="1375"/>
      <c r="G754" s="1420"/>
      <c r="H754" s="1374"/>
      <c r="I754" s="1374"/>
      <c r="J754" s="1375"/>
      <c r="K754" s="1406"/>
      <c r="L754" s="1374"/>
      <c r="M754" s="1374"/>
      <c r="N754" s="1375"/>
      <c r="O754" s="1376"/>
      <c r="P754" s="1374"/>
      <c r="Q754" s="1374"/>
      <c r="R754" s="1374"/>
      <c r="S754" s="1375"/>
      <c r="T754" s="1376"/>
      <c r="U754" s="1374"/>
      <c r="V754" s="1374"/>
      <c r="W754" s="1375"/>
      <c r="X754" s="1424">
        <f t="shared" si="9"/>
        <v>0</v>
      </c>
      <c r="Y754" s="1263"/>
      <c r="Z754" s="1263"/>
      <c r="AA754" s="1263"/>
      <c r="AB754" s="1264"/>
      <c r="AC754" s="1398"/>
      <c r="AD754" s="1374"/>
      <c r="AE754" s="1374"/>
      <c r="AF754" s="1374"/>
      <c r="AG754" s="1375"/>
      <c r="AH754" s="1441" t="str">
        <f t="shared" si="10"/>
        <v/>
      </c>
      <c r="AI754" s="1417"/>
      <c r="AJ754" s="1423"/>
      <c r="AK754" s="1392" t="s">
        <v>935</v>
      </c>
      <c r="AL754" s="1374"/>
      <c r="AM754" s="1374"/>
      <c r="AN754" s="1374"/>
      <c r="AO754" s="1375"/>
      <c r="AP754" s="3"/>
      <c r="AQ754" s="3"/>
      <c r="AR754" s="3"/>
      <c r="AS754" s="3"/>
      <c r="AY754" s="1078"/>
      <c r="AZ754" s="118" t="str">
        <f t="shared" si="11"/>
        <v>N/A</v>
      </c>
      <c r="BA754" s="34"/>
      <c r="BB754" s="34"/>
      <c r="BC754" s="34"/>
      <c r="BD754" s="34"/>
      <c r="BE754" s="34"/>
      <c r="BF754" s="294">
        <f t="shared" si="12"/>
        <v>0</v>
      </c>
      <c r="BG754" s="297">
        <f t="shared" si="13"/>
        <v>0</v>
      </c>
      <c r="BH754" s="298" t="str">
        <f t="shared" si="14"/>
        <v/>
      </c>
      <c r="BI754" s="34"/>
      <c r="BJ754" s="34"/>
      <c r="BK754" s="34"/>
      <c r="BL754" s="34"/>
      <c r="BM754" s="34"/>
      <c r="BN754" s="34"/>
      <c r="BS754" s="294">
        <f t="shared" si="15"/>
        <v>0</v>
      </c>
      <c r="BT754" s="297">
        <f t="shared" si="16"/>
        <v>0</v>
      </c>
      <c r="BU754" s="298" t="str">
        <f t="shared" si="17"/>
        <v/>
      </c>
      <c r="BV754" s="3"/>
      <c r="BW754" s="3"/>
      <c r="BX754" s="3"/>
      <c r="BY754" s="3"/>
      <c r="BZ754" s="3"/>
      <c r="CA754" s="3"/>
      <c r="CB754" s="3"/>
      <c r="CC754" s="3"/>
      <c r="CE754" s="3"/>
      <c r="CF754" s="3"/>
      <c r="CG754" s="1414">
        <f t="shared" si="18"/>
        <v>0</v>
      </c>
      <c r="CH754" s="1264"/>
      <c r="CI754" s="1381">
        <f t="shared" si="19"/>
        <v>0</v>
      </c>
      <c r="CJ754" s="1264"/>
      <c r="CK754" s="1414">
        <f t="shared" si="20"/>
        <v>0</v>
      </c>
      <c r="CL754" s="1264"/>
      <c r="CM754" s="1381">
        <f t="shared" si="21"/>
        <v>0</v>
      </c>
      <c r="CN754" s="1264"/>
      <c r="CO754" s="3"/>
      <c r="CP754" s="1379">
        <f t="shared" si="22"/>
        <v>0</v>
      </c>
      <c r="CQ754" s="1263"/>
      <c r="CR754" s="1263"/>
      <c r="CS754" s="1263"/>
      <c r="CT754" s="1264"/>
      <c r="CU754" s="1379">
        <f t="shared" si="23"/>
        <v>0</v>
      </c>
      <c r="CV754" s="1263"/>
      <c r="CW754" s="1263"/>
      <c r="CX754" s="1263"/>
      <c r="CY754" s="1264"/>
      <c r="CZ754" s="1379">
        <f t="shared" si="24"/>
        <v>0</v>
      </c>
      <c r="DA754" s="1263"/>
      <c r="DB754" s="1263"/>
      <c r="DC754" s="1263"/>
      <c r="DD754" s="1264"/>
      <c r="DE754" s="1379">
        <f t="shared" si="25"/>
        <v>0</v>
      </c>
      <c r="DF754" s="1263"/>
      <c r="DG754" s="1263"/>
      <c r="DH754" s="1263"/>
      <c r="DI754" s="1264"/>
      <c r="DJ754" s="1379">
        <f t="shared" si="26"/>
        <v>0</v>
      </c>
      <c r="DK754" s="1263"/>
      <c r="DL754" s="1263"/>
      <c r="DM754" s="1263"/>
      <c r="DN754" s="1264"/>
      <c r="DO754" s="1379">
        <f t="shared" si="27"/>
        <v>0</v>
      </c>
      <c r="DP754" s="1263"/>
      <c r="DQ754" s="1263"/>
      <c r="DR754" s="1263"/>
      <c r="DS754" s="1264"/>
      <c r="DT754" s="6"/>
      <c r="DU754" s="1377">
        <f t="shared" si="28"/>
        <v>0</v>
      </c>
      <c r="DV754" s="1263"/>
      <c r="DW754" s="1263"/>
      <c r="DX754" s="1263"/>
      <c r="DY754" s="1264"/>
      <c r="DZ754" s="1377">
        <f t="shared" si="29"/>
        <v>0</v>
      </c>
      <c r="EA754" s="1263"/>
      <c r="EB754" s="1263"/>
      <c r="EC754" s="1263"/>
      <c r="ED754" s="1264"/>
      <c r="EE754" s="1377">
        <f t="shared" si="30"/>
        <v>0</v>
      </c>
      <c r="EF754" s="1263"/>
      <c r="EG754" s="1263"/>
      <c r="EH754" s="1263"/>
      <c r="EI754" s="1264"/>
      <c r="EJ754" s="1377">
        <f t="shared" si="31"/>
        <v>0</v>
      </c>
      <c r="EK754" s="1263"/>
      <c r="EL754" s="1263"/>
      <c r="EM754" s="1263"/>
      <c r="EN754" s="1264"/>
      <c r="EO754" s="1377">
        <f t="shared" si="32"/>
        <v>0</v>
      </c>
      <c r="EP754" s="1263"/>
      <c r="EQ754" s="1263"/>
      <c r="ER754" s="1263"/>
      <c r="ES754" s="1264"/>
      <c r="ET754" s="1377">
        <f t="shared" si="33"/>
        <v>0</v>
      </c>
      <c r="EU754" s="1263"/>
      <c r="EV754" s="1263"/>
      <c r="EW754" s="1263"/>
      <c r="EX754" s="1264"/>
      <c r="EZ754" s="1414" t="str">
        <f t="shared" si="34"/>
        <v/>
      </c>
      <c r="FA754" s="1263"/>
      <c r="FB754" s="1263"/>
      <c r="FC754" s="1263"/>
      <c r="FD754" s="1264"/>
      <c r="FE754" s="1414" t="str">
        <f t="shared" si="35"/>
        <v/>
      </c>
      <c r="FF754" s="1263"/>
      <c r="FG754" s="1263"/>
      <c r="FH754" s="1263"/>
      <c r="FI754" s="1264"/>
      <c r="FJ754" s="1414" t="str">
        <f t="shared" si="36"/>
        <v/>
      </c>
      <c r="FK754" s="1263"/>
      <c r="FL754" s="1263"/>
      <c r="FM754" s="1263"/>
      <c r="FN754" s="1264"/>
      <c r="FO754" s="1414" t="str">
        <f t="shared" si="37"/>
        <v/>
      </c>
      <c r="FP754" s="1263"/>
      <c r="FQ754" s="1263"/>
      <c r="FR754" s="1263"/>
      <c r="FS754" s="1264"/>
      <c r="FT754" s="1414" t="str">
        <f t="shared" si="38"/>
        <v/>
      </c>
      <c r="FU754" s="1263"/>
      <c r="FV754" s="1263"/>
      <c r="FW754" s="1263"/>
      <c r="FX754" s="1264"/>
      <c r="FY754" s="1414" t="str">
        <f t="shared" si="39"/>
        <v/>
      </c>
      <c r="FZ754" s="1263"/>
      <c r="GA754" s="1263"/>
      <c r="GB754" s="1263"/>
      <c r="GC754" s="1264"/>
    </row>
    <row r="755" spans="1:185" ht="12.9" customHeight="1">
      <c r="B755" s="1392"/>
      <c r="C755" s="1374"/>
      <c r="D755" s="1374"/>
      <c r="E755" s="1374"/>
      <c r="F755" s="1375"/>
      <c r="G755" s="1420"/>
      <c r="H755" s="1374"/>
      <c r="I755" s="1374"/>
      <c r="J755" s="1375"/>
      <c r="K755" s="1406"/>
      <c r="L755" s="1374"/>
      <c r="M755" s="1374"/>
      <c r="N755" s="1375"/>
      <c r="O755" s="1376"/>
      <c r="P755" s="1374"/>
      <c r="Q755" s="1374"/>
      <c r="R755" s="1374"/>
      <c r="S755" s="1375"/>
      <c r="T755" s="1376"/>
      <c r="U755" s="1374"/>
      <c r="V755" s="1374"/>
      <c r="W755" s="1375"/>
      <c r="X755" s="1424">
        <f t="shared" si="9"/>
        <v>0</v>
      </c>
      <c r="Y755" s="1263"/>
      <c r="Z755" s="1263"/>
      <c r="AA755" s="1263"/>
      <c r="AB755" s="1264"/>
      <c r="AC755" s="1398"/>
      <c r="AD755" s="1374"/>
      <c r="AE755" s="1374"/>
      <c r="AF755" s="1374"/>
      <c r="AG755" s="1375"/>
      <c r="AH755" s="1441" t="str">
        <f t="shared" si="10"/>
        <v/>
      </c>
      <c r="AI755" s="1417"/>
      <c r="AJ755" s="1423"/>
      <c r="AK755" s="1392" t="s">
        <v>935</v>
      </c>
      <c r="AL755" s="1374"/>
      <c r="AM755" s="1374"/>
      <c r="AN755" s="1374"/>
      <c r="AO755" s="1375"/>
      <c r="AP755" s="3"/>
      <c r="AQ755" s="3"/>
      <c r="AR755" s="3"/>
      <c r="AS755" s="3"/>
      <c r="AY755" s="1078"/>
      <c r="AZ755" s="118" t="str">
        <f t="shared" si="11"/>
        <v>N/A</v>
      </c>
      <c r="BA755" s="34"/>
      <c r="BB755" s="34"/>
      <c r="BC755" s="34"/>
      <c r="BD755" s="34"/>
      <c r="BE755" s="34"/>
      <c r="BF755" s="294">
        <f t="shared" si="12"/>
        <v>0</v>
      </c>
      <c r="BG755" s="297">
        <f t="shared" si="13"/>
        <v>0</v>
      </c>
      <c r="BH755" s="298" t="str">
        <f t="shared" si="14"/>
        <v/>
      </c>
      <c r="BI755" s="34"/>
      <c r="BJ755" s="34"/>
      <c r="BK755" s="34"/>
      <c r="BL755" s="34"/>
      <c r="BM755" s="34"/>
      <c r="BN755" s="34"/>
      <c r="BS755" s="294">
        <f t="shared" si="15"/>
        <v>0</v>
      </c>
      <c r="BT755" s="297">
        <f t="shared" si="16"/>
        <v>0</v>
      </c>
      <c r="BU755" s="298" t="str">
        <f t="shared" si="17"/>
        <v/>
      </c>
      <c r="BV755" s="3"/>
      <c r="BW755" s="3"/>
      <c r="BX755" s="3"/>
      <c r="BY755" s="3"/>
      <c r="BZ755" s="3"/>
      <c r="CA755" s="3"/>
      <c r="CB755" s="3"/>
      <c r="CC755" s="3"/>
      <c r="CE755" s="3"/>
      <c r="CF755" s="3"/>
      <c r="CG755" s="1414">
        <f t="shared" si="18"/>
        <v>0</v>
      </c>
      <c r="CH755" s="1264"/>
      <c r="CI755" s="1381">
        <f t="shared" si="19"/>
        <v>0</v>
      </c>
      <c r="CJ755" s="1264"/>
      <c r="CK755" s="1414">
        <f t="shared" si="20"/>
        <v>0</v>
      </c>
      <c r="CL755" s="1264"/>
      <c r="CM755" s="1381">
        <f t="shared" si="21"/>
        <v>0</v>
      </c>
      <c r="CN755" s="1264"/>
      <c r="CO755" s="3"/>
      <c r="CP755" s="1379">
        <f t="shared" si="22"/>
        <v>0</v>
      </c>
      <c r="CQ755" s="1263"/>
      <c r="CR755" s="1263"/>
      <c r="CS755" s="1263"/>
      <c r="CT755" s="1264"/>
      <c r="CU755" s="1379">
        <f t="shared" si="23"/>
        <v>0</v>
      </c>
      <c r="CV755" s="1263"/>
      <c r="CW755" s="1263"/>
      <c r="CX755" s="1263"/>
      <c r="CY755" s="1264"/>
      <c r="CZ755" s="1379">
        <f t="shared" si="24"/>
        <v>0</v>
      </c>
      <c r="DA755" s="1263"/>
      <c r="DB755" s="1263"/>
      <c r="DC755" s="1263"/>
      <c r="DD755" s="1264"/>
      <c r="DE755" s="1379">
        <f t="shared" si="25"/>
        <v>0</v>
      </c>
      <c r="DF755" s="1263"/>
      <c r="DG755" s="1263"/>
      <c r="DH755" s="1263"/>
      <c r="DI755" s="1264"/>
      <c r="DJ755" s="1379">
        <f t="shared" si="26"/>
        <v>0</v>
      </c>
      <c r="DK755" s="1263"/>
      <c r="DL755" s="1263"/>
      <c r="DM755" s="1263"/>
      <c r="DN755" s="1264"/>
      <c r="DO755" s="1379">
        <f t="shared" si="27"/>
        <v>0</v>
      </c>
      <c r="DP755" s="1263"/>
      <c r="DQ755" s="1263"/>
      <c r="DR755" s="1263"/>
      <c r="DS755" s="1264"/>
      <c r="DT755" s="6"/>
      <c r="DU755" s="1377">
        <f t="shared" si="28"/>
        <v>0</v>
      </c>
      <c r="DV755" s="1263"/>
      <c r="DW755" s="1263"/>
      <c r="DX755" s="1263"/>
      <c r="DY755" s="1264"/>
      <c r="DZ755" s="1377">
        <f t="shared" si="29"/>
        <v>0</v>
      </c>
      <c r="EA755" s="1263"/>
      <c r="EB755" s="1263"/>
      <c r="EC755" s="1263"/>
      <c r="ED755" s="1264"/>
      <c r="EE755" s="1377">
        <f t="shared" si="30"/>
        <v>0</v>
      </c>
      <c r="EF755" s="1263"/>
      <c r="EG755" s="1263"/>
      <c r="EH755" s="1263"/>
      <c r="EI755" s="1264"/>
      <c r="EJ755" s="1377">
        <f t="shared" si="31"/>
        <v>0</v>
      </c>
      <c r="EK755" s="1263"/>
      <c r="EL755" s="1263"/>
      <c r="EM755" s="1263"/>
      <c r="EN755" s="1264"/>
      <c r="EO755" s="1377">
        <f t="shared" si="32"/>
        <v>0</v>
      </c>
      <c r="EP755" s="1263"/>
      <c r="EQ755" s="1263"/>
      <c r="ER755" s="1263"/>
      <c r="ES755" s="1264"/>
      <c r="ET755" s="1377">
        <f t="shared" si="33"/>
        <v>0</v>
      </c>
      <c r="EU755" s="1263"/>
      <c r="EV755" s="1263"/>
      <c r="EW755" s="1263"/>
      <c r="EX755" s="1264"/>
      <c r="EZ755" s="1414" t="str">
        <f t="shared" si="34"/>
        <v/>
      </c>
      <c r="FA755" s="1263"/>
      <c r="FB755" s="1263"/>
      <c r="FC755" s="1263"/>
      <c r="FD755" s="1264"/>
      <c r="FE755" s="1414" t="str">
        <f t="shared" si="35"/>
        <v/>
      </c>
      <c r="FF755" s="1263"/>
      <c r="FG755" s="1263"/>
      <c r="FH755" s="1263"/>
      <c r="FI755" s="1264"/>
      <c r="FJ755" s="1414" t="str">
        <f t="shared" si="36"/>
        <v/>
      </c>
      <c r="FK755" s="1263"/>
      <c r="FL755" s="1263"/>
      <c r="FM755" s="1263"/>
      <c r="FN755" s="1264"/>
      <c r="FO755" s="1414" t="str">
        <f t="shared" si="37"/>
        <v/>
      </c>
      <c r="FP755" s="1263"/>
      <c r="FQ755" s="1263"/>
      <c r="FR755" s="1263"/>
      <c r="FS755" s="1264"/>
      <c r="FT755" s="1414" t="str">
        <f t="shared" si="38"/>
        <v/>
      </c>
      <c r="FU755" s="1263"/>
      <c r="FV755" s="1263"/>
      <c r="FW755" s="1263"/>
      <c r="FX755" s="1264"/>
      <c r="FY755" s="1414" t="str">
        <f t="shared" si="39"/>
        <v/>
      </c>
      <c r="FZ755" s="1263"/>
      <c r="GA755" s="1263"/>
      <c r="GB755" s="1263"/>
      <c r="GC755" s="1264"/>
    </row>
    <row r="756" spans="1:185" s="3" customFormat="1" ht="12.9" customHeight="1">
      <c r="B756" s="1392"/>
      <c r="C756" s="1374"/>
      <c r="D756" s="1374"/>
      <c r="E756" s="1374"/>
      <c r="F756" s="1375"/>
      <c r="G756" s="1420"/>
      <c r="H756" s="1374"/>
      <c r="I756" s="1374"/>
      <c r="J756" s="1375"/>
      <c r="K756" s="1406"/>
      <c r="L756" s="1374"/>
      <c r="M756" s="1374"/>
      <c r="N756" s="1375"/>
      <c r="O756" s="1376"/>
      <c r="P756" s="1374"/>
      <c r="Q756" s="1374"/>
      <c r="R756" s="1374"/>
      <c r="S756" s="1375"/>
      <c r="T756" s="1376"/>
      <c r="U756" s="1374"/>
      <c r="V756" s="1374"/>
      <c r="W756" s="1375"/>
      <c r="X756" s="1424">
        <f t="shared" si="9"/>
        <v>0</v>
      </c>
      <c r="Y756" s="1263"/>
      <c r="Z756" s="1263"/>
      <c r="AA756" s="1263"/>
      <c r="AB756" s="1264"/>
      <c r="AC756" s="1398"/>
      <c r="AD756" s="1374"/>
      <c r="AE756" s="1374"/>
      <c r="AF756" s="1374"/>
      <c r="AG756" s="1375"/>
      <c r="AH756" s="1441" t="str">
        <f t="shared" si="10"/>
        <v/>
      </c>
      <c r="AI756" s="1417"/>
      <c r="AJ756" s="1423"/>
      <c r="AK756" s="1392" t="s">
        <v>935</v>
      </c>
      <c r="AL756" s="1374"/>
      <c r="AM756" s="1374"/>
      <c r="AN756" s="1374"/>
      <c r="AO756" s="1375"/>
      <c r="AY756" s="1078"/>
      <c r="AZ756" s="118" t="str">
        <f t="shared" si="11"/>
        <v>N/A</v>
      </c>
      <c r="BA756" s="34"/>
      <c r="BB756" s="34"/>
      <c r="BC756" s="34"/>
      <c r="BD756" s="34"/>
      <c r="BE756" s="34"/>
      <c r="BF756" s="294">
        <f t="shared" si="12"/>
        <v>0</v>
      </c>
      <c r="BG756" s="297">
        <f t="shared" si="13"/>
        <v>0</v>
      </c>
      <c r="BH756" s="298" t="str">
        <f t="shared" si="14"/>
        <v/>
      </c>
      <c r="BJ756" s="34"/>
      <c r="BK756" s="34"/>
      <c r="BL756" s="34"/>
      <c r="BM756" s="34"/>
      <c r="BN756" s="34"/>
      <c r="BS756" s="294">
        <f t="shared" si="15"/>
        <v>0</v>
      </c>
      <c r="BT756" s="297">
        <f t="shared" si="16"/>
        <v>0</v>
      </c>
      <c r="BU756" s="298" t="str">
        <f t="shared" si="17"/>
        <v/>
      </c>
      <c r="CG756" s="1414">
        <f t="shared" si="18"/>
        <v>0</v>
      </c>
      <c r="CH756" s="1264"/>
      <c r="CI756" s="1381">
        <f t="shared" si="19"/>
        <v>0</v>
      </c>
      <c r="CJ756" s="1264"/>
      <c r="CK756" s="1414">
        <f t="shared" si="20"/>
        <v>0</v>
      </c>
      <c r="CL756" s="1264"/>
      <c r="CM756" s="1381">
        <f t="shared" si="21"/>
        <v>0</v>
      </c>
      <c r="CN756" s="1264"/>
      <c r="CP756" s="1379">
        <f t="shared" si="22"/>
        <v>0</v>
      </c>
      <c r="CQ756" s="1263"/>
      <c r="CR756" s="1263"/>
      <c r="CS756" s="1263"/>
      <c r="CT756" s="1264"/>
      <c r="CU756" s="1379">
        <f t="shared" si="23"/>
        <v>0</v>
      </c>
      <c r="CV756" s="1263"/>
      <c r="CW756" s="1263"/>
      <c r="CX756" s="1263"/>
      <c r="CY756" s="1264"/>
      <c r="CZ756" s="1379">
        <f t="shared" si="24"/>
        <v>0</v>
      </c>
      <c r="DA756" s="1263"/>
      <c r="DB756" s="1263"/>
      <c r="DC756" s="1263"/>
      <c r="DD756" s="1264"/>
      <c r="DE756" s="1379">
        <f t="shared" si="25"/>
        <v>0</v>
      </c>
      <c r="DF756" s="1263"/>
      <c r="DG756" s="1263"/>
      <c r="DH756" s="1263"/>
      <c r="DI756" s="1264"/>
      <c r="DJ756" s="1379">
        <f t="shared" si="26"/>
        <v>0</v>
      </c>
      <c r="DK756" s="1263"/>
      <c r="DL756" s="1263"/>
      <c r="DM756" s="1263"/>
      <c r="DN756" s="1264"/>
      <c r="DO756" s="1379">
        <f t="shared" si="27"/>
        <v>0</v>
      </c>
      <c r="DP756" s="1263"/>
      <c r="DQ756" s="1263"/>
      <c r="DR756" s="1263"/>
      <c r="DS756" s="1264"/>
      <c r="DT756" s="6"/>
      <c r="DU756" s="1377">
        <f t="shared" si="28"/>
        <v>0</v>
      </c>
      <c r="DV756" s="1263"/>
      <c r="DW756" s="1263"/>
      <c r="DX756" s="1263"/>
      <c r="DY756" s="1264"/>
      <c r="DZ756" s="1377">
        <f t="shared" si="29"/>
        <v>0</v>
      </c>
      <c r="EA756" s="1263"/>
      <c r="EB756" s="1263"/>
      <c r="EC756" s="1263"/>
      <c r="ED756" s="1264"/>
      <c r="EE756" s="1377">
        <f t="shared" si="30"/>
        <v>0</v>
      </c>
      <c r="EF756" s="1263"/>
      <c r="EG756" s="1263"/>
      <c r="EH756" s="1263"/>
      <c r="EI756" s="1264"/>
      <c r="EJ756" s="1377">
        <f t="shared" si="31"/>
        <v>0</v>
      </c>
      <c r="EK756" s="1263"/>
      <c r="EL756" s="1263"/>
      <c r="EM756" s="1263"/>
      <c r="EN756" s="1264"/>
      <c r="EO756" s="1377">
        <f t="shared" si="32"/>
        <v>0</v>
      </c>
      <c r="EP756" s="1263"/>
      <c r="EQ756" s="1263"/>
      <c r="ER756" s="1263"/>
      <c r="ES756" s="1264"/>
      <c r="ET756" s="1377">
        <f t="shared" si="33"/>
        <v>0</v>
      </c>
      <c r="EU756" s="1263"/>
      <c r="EV756" s="1263"/>
      <c r="EW756" s="1263"/>
      <c r="EX756" s="1264"/>
      <c r="EZ756" s="1414" t="str">
        <f t="shared" si="34"/>
        <v/>
      </c>
      <c r="FA756" s="1263"/>
      <c r="FB756" s="1263"/>
      <c r="FC756" s="1263"/>
      <c r="FD756" s="1264"/>
      <c r="FE756" s="1414" t="str">
        <f t="shared" si="35"/>
        <v/>
      </c>
      <c r="FF756" s="1263"/>
      <c r="FG756" s="1263"/>
      <c r="FH756" s="1263"/>
      <c r="FI756" s="1264"/>
      <c r="FJ756" s="1414" t="str">
        <f t="shared" si="36"/>
        <v/>
      </c>
      <c r="FK756" s="1263"/>
      <c r="FL756" s="1263"/>
      <c r="FM756" s="1263"/>
      <c r="FN756" s="1264"/>
      <c r="FO756" s="1414" t="str">
        <f t="shared" si="37"/>
        <v/>
      </c>
      <c r="FP756" s="1263"/>
      <c r="FQ756" s="1263"/>
      <c r="FR756" s="1263"/>
      <c r="FS756" s="1264"/>
      <c r="FT756" s="1414" t="str">
        <f t="shared" si="38"/>
        <v/>
      </c>
      <c r="FU756" s="1263"/>
      <c r="FV756" s="1263"/>
      <c r="FW756" s="1263"/>
      <c r="FX756" s="1264"/>
      <c r="FY756" s="1414" t="str">
        <f t="shared" si="39"/>
        <v/>
      </c>
      <c r="FZ756" s="1263"/>
      <c r="GA756" s="1263"/>
      <c r="GB756" s="1263"/>
      <c r="GC756" s="1264"/>
    </row>
    <row r="757" spans="1:185" s="3" customFormat="1" ht="12.9" customHeight="1">
      <c r="B757" s="1392"/>
      <c r="C757" s="1374"/>
      <c r="D757" s="1374"/>
      <c r="E757" s="1374"/>
      <c r="F757" s="1375"/>
      <c r="G757" s="1420"/>
      <c r="H757" s="1374"/>
      <c r="I757" s="1374"/>
      <c r="J757" s="1375"/>
      <c r="K757" s="1406"/>
      <c r="L757" s="1374"/>
      <c r="M757" s="1374"/>
      <c r="N757" s="1375"/>
      <c r="O757" s="1376"/>
      <c r="P757" s="1374"/>
      <c r="Q757" s="1374"/>
      <c r="R757" s="1374"/>
      <c r="S757" s="1375"/>
      <c r="T757" s="1376"/>
      <c r="U757" s="1374"/>
      <c r="V757" s="1374"/>
      <c r="W757" s="1375"/>
      <c r="X757" s="1424">
        <f t="shared" si="9"/>
        <v>0</v>
      </c>
      <c r="Y757" s="1263"/>
      <c r="Z757" s="1263"/>
      <c r="AA757" s="1263"/>
      <c r="AB757" s="1264"/>
      <c r="AC757" s="1398"/>
      <c r="AD757" s="1374"/>
      <c r="AE757" s="1374"/>
      <c r="AF757" s="1374"/>
      <c r="AG757" s="1375"/>
      <c r="AH757" s="1441" t="str">
        <f t="shared" si="10"/>
        <v/>
      </c>
      <c r="AI757" s="1417"/>
      <c r="AJ757" s="1423"/>
      <c r="AK757" s="1392" t="s">
        <v>935</v>
      </c>
      <c r="AL757" s="1374"/>
      <c r="AM757" s="1374"/>
      <c r="AN757" s="1374"/>
      <c r="AO757" s="1375"/>
      <c r="AY757" s="1078"/>
      <c r="AZ757" s="118" t="str">
        <f t="shared" si="11"/>
        <v>N/A</v>
      </c>
      <c r="BA757" s="34"/>
      <c r="BB757" s="34"/>
      <c r="BC757" s="34"/>
      <c r="BD757" s="34"/>
      <c r="BE757" s="34"/>
      <c r="BF757" s="294">
        <f t="shared" si="12"/>
        <v>0</v>
      </c>
      <c r="BG757" s="297">
        <f t="shared" si="13"/>
        <v>0</v>
      </c>
      <c r="BH757" s="298" t="str">
        <f t="shared" si="14"/>
        <v/>
      </c>
      <c r="BJ757" s="34"/>
      <c r="BK757" s="34"/>
      <c r="BL757" s="34"/>
      <c r="BM757" s="34"/>
      <c r="BN757" s="34"/>
      <c r="BS757" s="294">
        <f t="shared" si="15"/>
        <v>0</v>
      </c>
      <c r="BT757" s="297">
        <f t="shared" si="16"/>
        <v>0</v>
      </c>
      <c r="BU757" s="298" t="str">
        <f t="shared" si="17"/>
        <v/>
      </c>
      <c r="CG757" s="1414">
        <f t="shared" si="18"/>
        <v>0</v>
      </c>
      <c r="CH757" s="1264"/>
      <c r="CI757" s="1381">
        <f t="shared" si="19"/>
        <v>0</v>
      </c>
      <c r="CJ757" s="1264"/>
      <c r="CK757" s="1414">
        <f t="shared" si="20"/>
        <v>0</v>
      </c>
      <c r="CL757" s="1264"/>
      <c r="CM757" s="1381">
        <f t="shared" si="21"/>
        <v>0</v>
      </c>
      <c r="CN757" s="1264"/>
      <c r="CP757" s="1379">
        <f t="shared" si="22"/>
        <v>0</v>
      </c>
      <c r="CQ757" s="1263"/>
      <c r="CR757" s="1263"/>
      <c r="CS757" s="1263"/>
      <c r="CT757" s="1264"/>
      <c r="CU757" s="1379">
        <f t="shared" si="23"/>
        <v>0</v>
      </c>
      <c r="CV757" s="1263"/>
      <c r="CW757" s="1263"/>
      <c r="CX757" s="1263"/>
      <c r="CY757" s="1264"/>
      <c r="CZ757" s="1379">
        <f t="shared" si="24"/>
        <v>0</v>
      </c>
      <c r="DA757" s="1263"/>
      <c r="DB757" s="1263"/>
      <c r="DC757" s="1263"/>
      <c r="DD757" s="1264"/>
      <c r="DE757" s="1379">
        <f t="shared" si="25"/>
        <v>0</v>
      </c>
      <c r="DF757" s="1263"/>
      <c r="DG757" s="1263"/>
      <c r="DH757" s="1263"/>
      <c r="DI757" s="1264"/>
      <c r="DJ757" s="1379">
        <f t="shared" si="26"/>
        <v>0</v>
      </c>
      <c r="DK757" s="1263"/>
      <c r="DL757" s="1263"/>
      <c r="DM757" s="1263"/>
      <c r="DN757" s="1264"/>
      <c r="DO757" s="1379">
        <f t="shared" si="27"/>
        <v>0</v>
      </c>
      <c r="DP757" s="1263"/>
      <c r="DQ757" s="1263"/>
      <c r="DR757" s="1263"/>
      <c r="DS757" s="1264"/>
      <c r="DT757" s="6"/>
      <c r="DU757" s="1377">
        <f t="shared" si="28"/>
        <v>0</v>
      </c>
      <c r="DV757" s="1263"/>
      <c r="DW757" s="1263"/>
      <c r="DX757" s="1263"/>
      <c r="DY757" s="1264"/>
      <c r="DZ757" s="1377">
        <f t="shared" si="29"/>
        <v>0</v>
      </c>
      <c r="EA757" s="1263"/>
      <c r="EB757" s="1263"/>
      <c r="EC757" s="1263"/>
      <c r="ED757" s="1264"/>
      <c r="EE757" s="1377">
        <f t="shared" si="30"/>
        <v>0</v>
      </c>
      <c r="EF757" s="1263"/>
      <c r="EG757" s="1263"/>
      <c r="EH757" s="1263"/>
      <c r="EI757" s="1264"/>
      <c r="EJ757" s="1377">
        <f t="shared" si="31"/>
        <v>0</v>
      </c>
      <c r="EK757" s="1263"/>
      <c r="EL757" s="1263"/>
      <c r="EM757" s="1263"/>
      <c r="EN757" s="1264"/>
      <c r="EO757" s="1377">
        <f t="shared" si="32"/>
        <v>0</v>
      </c>
      <c r="EP757" s="1263"/>
      <c r="EQ757" s="1263"/>
      <c r="ER757" s="1263"/>
      <c r="ES757" s="1264"/>
      <c r="ET757" s="1377">
        <f t="shared" si="33"/>
        <v>0</v>
      </c>
      <c r="EU757" s="1263"/>
      <c r="EV757" s="1263"/>
      <c r="EW757" s="1263"/>
      <c r="EX757" s="1264"/>
      <c r="EZ757" s="1414" t="str">
        <f t="shared" si="34"/>
        <v/>
      </c>
      <c r="FA757" s="1263"/>
      <c r="FB757" s="1263"/>
      <c r="FC757" s="1263"/>
      <c r="FD757" s="1264"/>
      <c r="FE757" s="1414" t="str">
        <f t="shared" si="35"/>
        <v/>
      </c>
      <c r="FF757" s="1263"/>
      <c r="FG757" s="1263"/>
      <c r="FH757" s="1263"/>
      <c r="FI757" s="1264"/>
      <c r="FJ757" s="1414" t="str">
        <f t="shared" si="36"/>
        <v/>
      </c>
      <c r="FK757" s="1263"/>
      <c r="FL757" s="1263"/>
      <c r="FM757" s="1263"/>
      <c r="FN757" s="1264"/>
      <c r="FO757" s="1414" t="str">
        <f t="shared" si="37"/>
        <v/>
      </c>
      <c r="FP757" s="1263"/>
      <c r="FQ757" s="1263"/>
      <c r="FR757" s="1263"/>
      <c r="FS757" s="1264"/>
      <c r="FT757" s="1414" t="str">
        <f t="shared" si="38"/>
        <v/>
      </c>
      <c r="FU757" s="1263"/>
      <c r="FV757" s="1263"/>
      <c r="FW757" s="1263"/>
      <c r="FX757" s="1264"/>
      <c r="FY757" s="1414" t="str">
        <f t="shared" si="39"/>
        <v/>
      </c>
      <c r="FZ757" s="1263"/>
      <c r="GA757" s="1263"/>
      <c r="GB757" s="1263"/>
      <c r="GC757" s="1264"/>
    </row>
    <row r="758" spans="1:185" s="3" customFormat="1" ht="12.9" customHeight="1">
      <c r="B758" s="1392"/>
      <c r="C758" s="1374"/>
      <c r="D758" s="1374"/>
      <c r="E758" s="1374"/>
      <c r="F758" s="1375"/>
      <c r="G758" s="1420"/>
      <c r="H758" s="1374"/>
      <c r="I758" s="1374"/>
      <c r="J758" s="1375"/>
      <c r="K758" s="1406"/>
      <c r="L758" s="1374"/>
      <c r="M758" s="1374"/>
      <c r="N758" s="1375"/>
      <c r="O758" s="1376"/>
      <c r="P758" s="1374"/>
      <c r="Q758" s="1374"/>
      <c r="R758" s="1374"/>
      <c r="S758" s="1375"/>
      <c r="T758" s="1376"/>
      <c r="U758" s="1374"/>
      <c r="V758" s="1374"/>
      <c r="W758" s="1375"/>
      <c r="X758" s="1424">
        <f t="shared" si="9"/>
        <v>0</v>
      </c>
      <c r="Y758" s="1263"/>
      <c r="Z758" s="1263"/>
      <c r="AA758" s="1263"/>
      <c r="AB758" s="1264"/>
      <c r="AC758" s="1398"/>
      <c r="AD758" s="1374"/>
      <c r="AE758" s="1374"/>
      <c r="AF758" s="1374"/>
      <c r="AG758" s="1375"/>
      <c r="AH758" s="1441" t="str">
        <f t="shared" si="10"/>
        <v/>
      </c>
      <c r="AI758" s="1417"/>
      <c r="AJ758" s="1423"/>
      <c r="AK758" s="1392" t="s">
        <v>935</v>
      </c>
      <c r="AL758" s="1374"/>
      <c r="AM758" s="1374"/>
      <c r="AN758" s="1374"/>
      <c r="AO758" s="1375"/>
      <c r="AZ758" s="118" t="str">
        <f t="shared" si="11"/>
        <v>N/A</v>
      </c>
      <c r="BA758" s="34"/>
      <c r="BB758" s="34"/>
      <c r="BC758" s="34"/>
      <c r="BD758" s="34"/>
      <c r="BE758" s="34"/>
      <c r="BF758" s="294">
        <f t="shared" si="12"/>
        <v>0</v>
      </c>
      <c r="BG758" s="297">
        <f t="shared" si="13"/>
        <v>0</v>
      </c>
      <c r="BH758" s="298" t="str">
        <f t="shared" si="14"/>
        <v/>
      </c>
      <c r="BJ758" s="34"/>
      <c r="BK758" s="34"/>
      <c r="BL758" s="34"/>
      <c r="BM758" s="34"/>
      <c r="BN758" s="34"/>
      <c r="BS758" s="294">
        <f t="shared" si="15"/>
        <v>0</v>
      </c>
      <c r="BT758" s="297">
        <f t="shared" si="16"/>
        <v>0</v>
      </c>
      <c r="BU758" s="298" t="str">
        <f t="shared" si="17"/>
        <v/>
      </c>
      <c r="CG758" s="1414">
        <f t="shared" si="18"/>
        <v>0</v>
      </c>
      <c r="CH758" s="1264"/>
      <c r="CI758" s="1381">
        <f t="shared" si="19"/>
        <v>0</v>
      </c>
      <c r="CJ758" s="1264"/>
      <c r="CK758" s="1414">
        <f t="shared" si="20"/>
        <v>0</v>
      </c>
      <c r="CL758" s="1264"/>
      <c r="CM758" s="1381">
        <f t="shared" si="21"/>
        <v>0</v>
      </c>
      <c r="CN758" s="1264"/>
      <c r="CP758" s="1379">
        <f t="shared" si="22"/>
        <v>0</v>
      </c>
      <c r="CQ758" s="1263"/>
      <c r="CR758" s="1263"/>
      <c r="CS758" s="1263"/>
      <c r="CT758" s="1264"/>
      <c r="CU758" s="1379">
        <f t="shared" si="23"/>
        <v>0</v>
      </c>
      <c r="CV758" s="1263"/>
      <c r="CW758" s="1263"/>
      <c r="CX758" s="1263"/>
      <c r="CY758" s="1264"/>
      <c r="CZ758" s="1379">
        <f t="shared" si="24"/>
        <v>0</v>
      </c>
      <c r="DA758" s="1263"/>
      <c r="DB758" s="1263"/>
      <c r="DC758" s="1263"/>
      <c r="DD758" s="1264"/>
      <c r="DE758" s="1379">
        <f t="shared" si="25"/>
        <v>0</v>
      </c>
      <c r="DF758" s="1263"/>
      <c r="DG758" s="1263"/>
      <c r="DH758" s="1263"/>
      <c r="DI758" s="1264"/>
      <c r="DJ758" s="1379">
        <f t="shared" si="26"/>
        <v>0</v>
      </c>
      <c r="DK758" s="1263"/>
      <c r="DL758" s="1263"/>
      <c r="DM758" s="1263"/>
      <c r="DN758" s="1264"/>
      <c r="DO758" s="1379">
        <f t="shared" si="27"/>
        <v>0</v>
      </c>
      <c r="DP758" s="1263"/>
      <c r="DQ758" s="1263"/>
      <c r="DR758" s="1263"/>
      <c r="DS758" s="1264"/>
      <c r="DT758" s="6"/>
      <c r="DU758" s="1377">
        <f t="shared" si="28"/>
        <v>0</v>
      </c>
      <c r="DV758" s="1263"/>
      <c r="DW758" s="1263"/>
      <c r="DX758" s="1263"/>
      <c r="DY758" s="1264"/>
      <c r="DZ758" s="1377">
        <f t="shared" si="29"/>
        <v>0</v>
      </c>
      <c r="EA758" s="1263"/>
      <c r="EB758" s="1263"/>
      <c r="EC758" s="1263"/>
      <c r="ED758" s="1264"/>
      <c r="EE758" s="1377">
        <f t="shared" si="30"/>
        <v>0</v>
      </c>
      <c r="EF758" s="1263"/>
      <c r="EG758" s="1263"/>
      <c r="EH758" s="1263"/>
      <c r="EI758" s="1264"/>
      <c r="EJ758" s="1377">
        <f t="shared" si="31"/>
        <v>0</v>
      </c>
      <c r="EK758" s="1263"/>
      <c r="EL758" s="1263"/>
      <c r="EM758" s="1263"/>
      <c r="EN758" s="1264"/>
      <c r="EO758" s="1377">
        <f t="shared" si="32"/>
        <v>0</v>
      </c>
      <c r="EP758" s="1263"/>
      <c r="EQ758" s="1263"/>
      <c r="ER758" s="1263"/>
      <c r="ES758" s="1264"/>
      <c r="ET758" s="1377">
        <f t="shared" si="33"/>
        <v>0</v>
      </c>
      <c r="EU758" s="1263"/>
      <c r="EV758" s="1263"/>
      <c r="EW758" s="1263"/>
      <c r="EX758" s="1264"/>
      <c r="EZ758" s="1414" t="str">
        <f t="shared" si="34"/>
        <v/>
      </c>
      <c r="FA758" s="1263"/>
      <c r="FB758" s="1263"/>
      <c r="FC758" s="1263"/>
      <c r="FD758" s="1264"/>
      <c r="FE758" s="1414" t="str">
        <f t="shared" si="35"/>
        <v/>
      </c>
      <c r="FF758" s="1263"/>
      <c r="FG758" s="1263"/>
      <c r="FH758" s="1263"/>
      <c r="FI758" s="1264"/>
      <c r="FJ758" s="1414" t="str">
        <f t="shared" si="36"/>
        <v/>
      </c>
      <c r="FK758" s="1263"/>
      <c r="FL758" s="1263"/>
      <c r="FM758" s="1263"/>
      <c r="FN758" s="1264"/>
      <c r="FO758" s="1414" t="str">
        <f t="shared" si="37"/>
        <v/>
      </c>
      <c r="FP758" s="1263"/>
      <c r="FQ758" s="1263"/>
      <c r="FR758" s="1263"/>
      <c r="FS758" s="1264"/>
      <c r="FT758" s="1414" t="str">
        <f t="shared" si="38"/>
        <v/>
      </c>
      <c r="FU758" s="1263"/>
      <c r="FV758" s="1263"/>
      <c r="FW758" s="1263"/>
      <c r="FX758" s="1264"/>
      <c r="FY758" s="1414" t="str">
        <f t="shared" si="39"/>
        <v/>
      </c>
      <c r="FZ758" s="1263"/>
      <c r="GA758" s="1263"/>
      <c r="GB758" s="1263"/>
      <c r="GC758" s="1264"/>
    </row>
    <row r="759" spans="1:185" s="3" customFormat="1" ht="12.9" customHeight="1">
      <c r="B759" s="1392"/>
      <c r="C759" s="1374"/>
      <c r="D759" s="1374"/>
      <c r="E759" s="1374"/>
      <c r="F759" s="1375"/>
      <c r="G759" s="1420"/>
      <c r="H759" s="1374"/>
      <c r="I759" s="1374"/>
      <c r="J759" s="1375"/>
      <c r="K759" s="1406"/>
      <c r="L759" s="1374"/>
      <c r="M759" s="1374"/>
      <c r="N759" s="1375"/>
      <c r="O759" s="1376"/>
      <c r="P759" s="1374"/>
      <c r="Q759" s="1374"/>
      <c r="R759" s="1374"/>
      <c r="S759" s="1375"/>
      <c r="T759" s="1376"/>
      <c r="U759" s="1374"/>
      <c r="V759" s="1374"/>
      <c r="W759" s="1375"/>
      <c r="X759" s="1424">
        <f t="shared" si="9"/>
        <v>0</v>
      </c>
      <c r="Y759" s="1263"/>
      <c r="Z759" s="1263"/>
      <c r="AA759" s="1263"/>
      <c r="AB759" s="1264"/>
      <c r="AC759" s="1398"/>
      <c r="AD759" s="1374"/>
      <c r="AE759" s="1374"/>
      <c r="AF759" s="1374"/>
      <c r="AG759" s="1375"/>
      <c r="AH759" s="1441" t="str">
        <f t="shared" si="10"/>
        <v/>
      </c>
      <c r="AI759" s="1417"/>
      <c r="AJ759" s="1423"/>
      <c r="AK759" s="1392" t="s">
        <v>935</v>
      </c>
      <c r="AL759" s="1374"/>
      <c r="AM759" s="1374"/>
      <c r="AN759" s="1374"/>
      <c r="AO759" s="1375"/>
      <c r="AZ759" s="118" t="str">
        <f t="shared" si="11"/>
        <v>N/A</v>
      </c>
      <c r="BA759" s="34"/>
      <c r="BB759" s="34"/>
      <c r="BC759" s="34"/>
      <c r="BD759" s="34"/>
      <c r="BE759" s="34"/>
      <c r="BF759" s="294">
        <f t="shared" si="12"/>
        <v>0</v>
      </c>
      <c r="BG759" s="297">
        <f t="shared" si="13"/>
        <v>0</v>
      </c>
      <c r="BH759" s="298" t="str">
        <f t="shared" si="14"/>
        <v/>
      </c>
      <c r="BJ759" s="34"/>
      <c r="BK759" s="34"/>
      <c r="BL759" s="34"/>
      <c r="BM759" s="34"/>
      <c r="BN759" s="34"/>
      <c r="BS759" s="294">
        <f t="shared" si="15"/>
        <v>0</v>
      </c>
      <c r="BT759" s="297">
        <f t="shared" si="16"/>
        <v>0</v>
      </c>
      <c r="BU759" s="298" t="str">
        <f t="shared" si="17"/>
        <v/>
      </c>
      <c r="CG759" s="1414">
        <f t="shared" si="18"/>
        <v>0</v>
      </c>
      <c r="CH759" s="1264"/>
      <c r="CI759" s="1381">
        <f t="shared" si="19"/>
        <v>0</v>
      </c>
      <c r="CJ759" s="1264"/>
      <c r="CK759" s="1414">
        <f t="shared" si="20"/>
        <v>0</v>
      </c>
      <c r="CL759" s="1264"/>
      <c r="CM759" s="1381">
        <f t="shared" si="21"/>
        <v>0</v>
      </c>
      <c r="CN759" s="1264"/>
      <c r="CP759" s="1379">
        <f t="shared" si="22"/>
        <v>0</v>
      </c>
      <c r="CQ759" s="1263"/>
      <c r="CR759" s="1263"/>
      <c r="CS759" s="1263"/>
      <c r="CT759" s="1264"/>
      <c r="CU759" s="1379">
        <f t="shared" si="23"/>
        <v>0</v>
      </c>
      <c r="CV759" s="1263"/>
      <c r="CW759" s="1263"/>
      <c r="CX759" s="1263"/>
      <c r="CY759" s="1264"/>
      <c r="CZ759" s="1379">
        <f t="shared" si="24"/>
        <v>0</v>
      </c>
      <c r="DA759" s="1263"/>
      <c r="DB759" s="1263"/>
      <c r="DC759" s="1263"/>
      <c r="DD759" s="1264"/>
      <c r="DE759" s="1379">
        <f t="shared" si="25"/>
        <v>0</v>
      </c>
      <c r="DF759" s="1263"/>
      <c r="DG759" s="1263"/>
      <c r="DH759" s="1263"/>
      <c r="DI759" s="1264"/>
      <c r="DJ759" s="1379">
        <f t="shared" si="26"/>
        <v>0</v>
      </c>
      <c r="DK759" s="1263"/>
      <c r="DL759" s="1263"/>
      <c r="DM759" s="1263"/>
      <c r="DN759" s="1264"/>
      <c r="DO759" s="1379">
        <f t="shared" si="27"/>
        <v>0</v>
      </c>
      <c r="DP759" s="1263"/>
      <c r="DQ759" s="1263"/>
      <c r="DR759" s="1263"/>
      <c r="DS759" s="1264"/>
      <c r="DT759" s="6"/>
      <c r="DU759" s="1377">
        <f t="shared" si="28"/>
        <v>0</v>
      </c>
      <c r="DV759" s="1263"/>
      <c r="DW759" s="1263"/>
      <c r="DX759" s="1263"/>
      <c r="DY759" s="1264"/>
      <c r="DZ759" s="1377">
        <f t="shared" si="29"/>
        <v>0</v>
      </c>
      <c r="EA759" s="1263"/>
      <c r="EB759" s="1263"/>
      <c r="EC759" s="1263"/>
      <c r="ED759" s="1264"/>
      <c r="EE759" s="1377">
        <f t="shared" si="30"/>
        <v>0</v>
      </c>
      <c r="EF759" s="1263"/>
      <c r="EG759" s="1263"/>
      <c r="EH759" s="1263"/>
      <c r="EI759" s="1264"/>
      <c r="EJ759" s="1377">
        <f t="shared" si="31"/>
        <v>0</v>
      </c>
      <c r="EK759" s="1263"/>
      <c r="EL759" s="1263"/>
      <c r="EM759" s="1263"/>
      <c r="EN759" s="1264"/>
      <c r="EO759" s="1377">
        <f t="shared" si="32"/>
        <v>0</v>
      </c>
      <c r="EP759" s="1263"/>
      <c r="EQ759" s="1263"/>
      <c r="ER759" s="1263"/>
      <c r="ES759" s="1264"/>
      <c r="ET759" s="1377">
        <f t="shared" si="33"/>
        <v>0</v>
      </c>
      <c r="EU759" s="1263"/>
      <c r="EV759" s="1263"/>
      <c r="EW759" s="1263"/>
      <c r="EX759" s="1264"/>
      <c r="EZ759" s="1414" t="str">
        <f t="shared" si="34"/>
        <v/>
      </c>
      <c r="FA759" s="1263"/>
      <c r="FB759" s="1263"/>
      <c r="FC759" s="1263"/>
      <c r="FD759" s="1264"/>
      <c r="FE759" s="1414" t="str">
        <f t="shared" si="35"/>
        <v/>
      </c>
      <c r="FF759" s="1263"/>
      <c r="FG759" s="1263"/>
      <c r="FH759" s="1263"/>
      <c r="FI759" s="1264"/>
      <c r="FJ759" s="1414" t="str">
        <f t="shared" si="36"/>
        <v/>
      </c>
      <c r="FK759" s="1263"/>
      <c r="FL759" s="1263"/>
      <c r="FM759" s="1263"/>
      <c r="FN759" s="1264"/>
      <c r="FO759" s="1414" t="str">
        <f t="shared" si="37"/>
        <v/>
      </c>
      <c r="FP759" s="1263"/>
      <c r="FQ759" s="1263"/>
      <c r="FR759" s="1263"/>
      <c r="FS759" s="1264"/>
      <c r="FT759" s="1414" t="str">
        <f t="shared" si="38"/>
        <v/>
      </c>
      <c r="FU759" s="1263"/>
      <c r="FV759" s="1263"/>
      <c r="FW759" s="1263"/>
      <c r="FX759" s="1264"/>
      <c r="FY759" s="1414" t="str">
        <f t="shared" si="39"/>
        <v/>
      </c>
      <c r="FZ759" s="1263"/>
      <c r="GA759" s="1263"/>
      <c r="GB759" s="1263"/>
      <c r="GC759" s="1264"/>
    </row>
    <row r="760" spans="1:185" s="3" customFormat="1" ht="12.9" customHeight="1">
      <c r="B760" s="1392"/>
      <c r="C760" s="1374"/>
      <c r="D760" s="1374"/>
      <c r="E760" s="1374"/>
      <c r="F760" s="1375"/>
      <c r="G760" s="1420"/>
      <c r="H760" s="1374"/>
      <c r="I760" s="1374"/>
      <c r="J760" s="1375"/>
      <c r="K760" s="1406"/>
      <c r="L760" s="1374"/>
      <c r="M760" s="1374"/>
      <c r="N760" s="1375"/>
      <c r="O760" s="1376"/>
      <c r="P760" s="1374"/>
      <c r="Q760" s="1374"/>
      <c r="R760" s="1374"/>
      <c r="S760" s="1375"/>
      <c r="T760" s="1376"/>
      <c r="U760" s="1374"/>
      <c r="V760" s="1374"/>
      <c r="W760" s="1375"/>
      <c r="X760" s="1424">
        <f t="shared" si="9"/>
        <v>0</v>
      </c>
      <c r="Y760" s="1263"/>
      <c r="Z760" s="1263"/>
      <c r="AA760" s="1263"/>
      <c r="AB760" s="1264"/>
      <c r="AC760" s="1398"/>
      <c r="AD760" s="1374"/>
      <c r="AE760" s="1374"/>
      <c r="AF760" s="1374"/>
      <c r="AG760" s="1375"/>
      <c r="AH760" s="1441" t="str">
        <f t="shared" si="10"/>
        <v/>
      </c>
      <c r="AI760" s="1417"/>
      <c r="AJ760" s="1423"/>
      <c r="AK760" s="1392" t="s">
        <v>935</v>
      </c>
      <c r="AL760" s="1374"/>
      <c r="AM760" s="1374"/>
      <c r="AN760" s="1374"/>
      <c r="AO760" s="1375"/>
      <c r="AZ760" s="118" t="str">
        <f t="shared" si="11"/>
        <v>N/A</v>
      </c>
      <c r="BA760" s="34"/>
      <c r="BB760" s="34"/>
      <c r="BC760" s="34"/>
      <c r="BF760" s="294">
        <f t="shared" si="12"/>
        <v>0</v>
      </c>
      <c r="BG760" s="297">
        <f t="shared" si="13"/>
        <v>0</v>
      </c>
      <c r="BH760" s="298" t="str">
        <f t="shared" si="14"/>
        <v/>
      </c>
      <c r="BJ760" s="34"/>
      <c r="BK760" s="34"/>
      <c r="BL760" s="34"/>
      <c r="BM760" s="34"/>
      <c r="BN760" s="34"/>
      <c r="BS760" s="856">
        <f t="shared" si="15"/>
        <v>0</v>
      </c>
      <c r="BT760" s="297">
        <f t="shared" si="16"/>
        <v>0</v>
      </c>
      <c r="BU760" s="298" t="str">
        <f t="shared" si="17"/>
        <v/>
      </c>
      <c r="CG760" s="1414">
        <f t="shared" si="18"/>
        <v>0</v>
      </c>
      <c r="CH760" s="1264"/>
      <c r="CI760" s="1381">
        <f t="shared" si="19"/>
        <v>0</v>
      </c>
      <c r="CJ760" s="1264"/>
      <c r="CK760" s="1414">
        <f t="shared" si="20"/>
        <v>0</v>
      </c>
      <c r="CL760" s="1264"/>
      <c r="CM760" s="1381">
        <f t="shared" si="21"/>
        <v>0</v>
      </c>
      <c r="CN760" s="1264"/>
      <c r="CP760" s="1379">
        <f t="shared" si="22"/>
        <v>0</v>
      </c>
      <c r="CQ760" s="1263"/>
      <c r="CR760" s="1263"/>
      <c r="CS760" s="1263"/>
      <c r="CT760" s="1264"/>
      <c r="CU760" s="1379">
        <f t="shared" si="23"/>
        <v>0</v>
      </c>
      <c r="CV760" s="1263"/>
      <c r="CW760" s="1263"/>
      <c r="CX760" s="1263"/>
      <c r="CY760" s="1264"/>
      <c r="CZ760" s="1379">
        <f t="shared" si="24"/>
        <v>0</v>
      </c>
      <c r="DA760" s="1263"/>
      <c r="DB760" s="1263"/>
      <c r="DC760" s="1263"/>
      <c r="DD760" s="1264"/>
      <c r="DE760" s="1379">
        <f t="shared" si="25"/>
        <v>0</v>
      </c>
      <c r="DF760" s="1263"/>
      <c r="DG760" s="1263"/>
      <c r="DH760" s="1263"/>
      <c r="DI760" s="1264"/>
      <c r="DJ760" s="1379">
        <f t="shared" si="26"/>
        <v>0</v>
      </c>
      <c r="DK760" s="1263"/>
      <c r="DL760" s="1263"/>
      <c r="DM760" s="1263"/>
      <c r="DN760" s="1264"/>
      <c r="DO760" s="1379">
        <f t="shared" si="27"/>
        <v>0</v>
      </c>
      <c r="DP760" s="1263"/>
      <c r="DQ760" s="1263"/>
      <c r="DR760" s="1263"/>
      <c r="DS760" s="1264"/>
      <c r="DT760" s="6"/>
      <c r="DU760" s="1377">
        <f t="shared" si="28"/>
        <v>0</v>
      </c>
      <c r="DV760" s="1263"/>
      <c r="DW760" s="1263"/>
      <c r="DX760" s="1263"/>
      <c r="DY760" s="1264"/>
      <c r="DZ760" s="1377">
        <f t="shared" si="29"/>
        <v>0</v>
      </c>
      <c r="EA760" s="1263"/>
      <c r="EB760" s="1263"/>
      <c r="EC760" s="1263"/>
      <c r="ED760" s="1264"/>
      <c r="EE760" s="1377">
        <f t="shared" si="30"/>
        <v>0</v>
      </c>
      <c r="EF760" s="1263"/>
      <c r="EG760" s="1263"/>
      <c r="EH760" s="1263"/>
      <c r="EI760" s="1264"/>
      <c r="EJ760" s="1377">
        <f t="shared" si="31"/>
        <v>0</v>
      </c>
      <c r="EK760" s="1263"/>
      <c r="EL760" s="1263"/>
      <c r="EM760" s="1263"/>
      <c r="EN760" s="1264"/>
      <c r="EO760" s="1377">
        <f t="shared" si="32"/>
        <v>0</v>
      </c>
      <c r="EP760" s="1263"/>
      <c r="EQ760" s="1263"/>
      <c r="ER760" s="1263"/>
      <c r="ES760" s="1264"/>
      <c r="ET760" s="1377">
        <f t="shared" si="33"/>
        <v>0</v>
      </c>
      <c r="EU760" s="1263"/>
      <c r="EV760" s="1263"/>
      <c r="EW760" s="1263"/>
      <c r="EX760" s="1264"/>
      <c r="EZ760" s="1414" t="str">
        <f t="shared" si="34"/>
        <v/>
      </c>
      <c r="FA760" s="1263"/>
      <c r="FB760" s="1263"/>
      <c r="FC760" s="1263"/>
      <c r="FD760" s="1264"/>
      <c r="FE760" s="1414" t="str">
        <f t="shared" si="35"/>
        <v/>
      </c>
      <c r="FF760" s="1263"/>
      <c r="FG760" s="1263"/>
      <c r="FH760" s="1263"/>
      <c r="FI760" s="1264"/>
      <c r="FJ760" s="1414" t="str">
        <f t="shared" si="36"/>
        <v/>
      </c>
      <c r="FK760" s="1263"/>
      <c r="FL760" s="1263"/>
      <c r="FM760" s="1263"/>
      <c r="FN760" s="1264"/>
      <c r="FO760" s="1414" t="str">
        <f t="shared" si="37"/>
        <v/>
      </c>
      <c r="FP760" s="1263"/>
      <c r="FQ760" s="1263"/>
      <c r="FR760" s="1263"/>
      <c r="FS760" s="1264"/>
      <c r="FT760" s="1414" t="str">
        <f t="shared" si="38"/>
        <v/>
      </c>
      <c r="FU760" s="1263"/>
      <c r="FV760" s="1263"/>
      <c r="FW760" s="1263"/>
      <c r="FX760" s="1264"/>
      <c r="FY760" s="1414" t="str">
        <f t="shared" si="39"/>
        <v/>
      </c>
      <c r="FZ760" s="1263"/>
      <c r="GA760" s="1263"/>
      <c r="GB760" s="1263"/>
      <c r="GC760" s="1264"/>
    </row>
    <row r="761" spans="1:185" s="3" customFormat="1" ht="12.9" customHeight="1">
      <c r="B761" s="1498" t="s">
        <v>1554</v>
      </c>
      <c r="C761" s="1263"/>
      <c r="D761" s="1263"/>
      <c r="E761" s="1263"/>
      <c r="F761" s="1264"/>
      <c r="G761" s="1625">
        <f>SUM(G726:G760)</f>
        <v>64</v>
      </c>
      <c r="H761" s="1263"/>
      <c r="I761" s="1263"/>
      <c r="J761" s="1264"/>
      <c r="K761" s="898" t="s">
        <v>1555</v>
      </c>
      <c r="L761" s="5"/>
      <c r="M761" s="5"/>
      <c r="N761" s="46"/>
      <c r="O761" s="1424">
        <f>SUMPRODUCT(G726:G760,O726:O760)</f>
        <v>105067</v>
      </c>
      <c r="P761" s="1263"/>
      <c r="Q761" s="1263"/>
      <c r="R761" s="1263"/>
      <c r="S761" s="1264"/>
      <c r="X761" s="900" t="s">
        <v>1556</v>
      </c>
      <c r="Y761" s="899"/>
      <c r="Z761" s="899"/>
      <c r="AA761" s="899"/>
      <c r="AB761" s="901"/>
      <c r="AC761" s="1507">
        <f>BH761</f>
        <v>0.47187500000000004</v>
      </c>
      <c r="AD761" s="1263"/>
      <c r="AE761" s="1263"/>
      <c r="AF761" s="1263"/>
      <c r="AG761" s="1264"/>
      <c r="AH761" s="1507">
        <f>IFERROR(BU761,"")</f>
        <v>0.47180005409505499</v>
      </c>
      <c r="AI761" s="1263"/>
      <c r="AJ761" s="1264"/>
      <c r="AP761" s="205"/>
      <c r="AQ761" s="205"/>
      <c r="AR761" s="205"/>
      <c r="AS761" s="205"/>
      <c r="AZ761" s="34"/>
      <c r="BA761" s="34"/>
      <c r="BB761" s="34"/>
      <c r="BC761" s="34"/>
      <c r="BE761" s="290" t="s">
        <v>1557</v>
      </c>
      <c r="BF761" s="299">
        <f>SUM(BF726:BF760)</f>
        <v>64</v>
      </c>
      <c r="BG761" s="300">
        <f>SUM(BG726:BG760)</f>
        <v>1</v>
      </c>
      <c r="BH761" s="300">
        <f>SUM(BH726:BH760)</f>
        <v>0.47187500000000004</v>
      </c>
      <c r="BS761" s="855">
        <f>SUM(BS726:BS760)</f>
        <v>64</v>
      </c>
      <c r="BT761" s="300">
        <f>SUM(BT726:BT760)</f>
        <v>1</v>
      </c>
      <c r="BU761" s="300">
        <f>SUM(BU726:BU760)</f>
        <v>0.47180005409505499</v>
      </c>
      <c r="CI761" s="1414">
        <f>SUM(CI726:CJ760)</f>
        <v>36</v>
      </c>
      <c r="CJ761" s="1264"/>
      <c r="CM761" s="1414">
        <f>SUM(CM726:CN760)</f>
        <v>9</v>
      </c>
      <c r="CN761" s="1264"/>
      <c r="CP761" s="1414">
        <f>SUM(CP726:CT760)</f>
        <v>0</v>
      </c>
      <c r="CQ761" s="1263"/>
      <c r="CR761" s="1263"/>
      <c r="CS761" s="1263"/>
      <c r="CT761" s="1264"/>
      <c r="CU761" s="1414">
        <f>SUM(CU726:CY760)</f>
        <v>12</v>
      </c>
      <c r="CV761" s="1263"/>
      <c r="CW761" s="1263"/>
      <c r="CX761" s="1263"/>
      <c r="CY761" s="1264"/>
      <c r="CZ761" s="1414">
        <f>SUM(CZ726:DD760)</f>
        <v>18</v>
      </c>
      <c r="DA761" s="1263"/>
      <c r="DB761" s="1263"/>
      <c r="DC761" s="1263"/>
      <c r="DD761" s="1264"/>
      <c r="DE761" s="1414">
        <f>SUM(DE726:DI760)</f>
        <v>28</v>
      </c>
      <c r="DF761" s="1263"/>
      <c r="DG761" s="1263"/>
      <c r="DH761" s="1263"/>
      <c r="DI761" s="1264"/>
      <c r="DJ761" s="1414">
        <f>SUM(DJ726:DN760)</f>
        <v>6</v>
      </c>
      <c r="DK761" s="1263"/>
      <c r="DL761" s="1263"/>
      <c r="DM761" s="1263"/>
      <c r="DN761" s="1264"/>
      <c r="DO761" s="1414">
        <f>SUM(DO726:DS760)</f>
        <v>0</v>
      </c>
      <c r="DP761" s="1263"/>
      <c r="DQ761" s="1263"/>
      <c r="DR761" s="1263"/>
      <c r="DS761" s="1264"/>
      <c r="DT761" s="354"/>
      <c r="DU761" s="1414">
        <f>SUM(DU726:DY760)</f>
        <v>0</v>
      </c>
      <c r="DV761" s="1263"/>
      <c r="DW761" s="1263"/>
      <c r="DX761" s="1263"/>
      <c r="DY761" s="1264"/>
      <c r="DZ761" s="1414">
        <f>SUM(DZ726:ED760)</f>
        <v>2</v>
      </c>
      <c r="EA761" s="1263"/>
      <c r="EB761" s="1263"/>
      <c r="EC761" s="1263"/>
      <c r="ED761" s="1264"/>
      <c r="EE761" s="1414">
        <f>SUM(EE726:EI760)</f>
        <v>2</v>
      </c>
      <c r="EF761" s="1263"/>
      <c r="EG761" s="1263"/>
      <c r="EH761" s="1263"/>
      <c r="EI761" s="1264"/>
      <c r="EJ761" s="1414">
        <f>SUM(EJ726:EN760)</f>
        <v>3</v>
      </c>
      <c r="EK761" s="1263"/>
      <c r="EL761" s="1263"/>
      <c r="EM761" s="1263"/>
      <c r="EN761" s="1264"/>
      <c r="EO761" s="1414">
        <f>SUM(EO726:ES760)</f>
        <v>1</v>
      </c>
      <c r="EP761" s="1263"/>
      <c r="EQ761" s="1263"/>
      <c r="ER761" s="1263"/>
      <c r="ES761" s="1264"/>
      <c r="ET761" s="1414">
        <f>SUM(ET726:EX760)</f>
        <v>0</v>
      </c>
      <c r="EU761" s="1263"/>
      <c r="EV761" s="1263"/>
      <c r="EW761" s="1263"/>
      <c r="EX761" s="1264"/>
      <c r="EZ761" s="1414">
        <f>SUM(EZ726:FD760)</f>
        <v>0</v>
      </c>
      <c r="FA761" s="1263"/>
      <c r="FB761" s="1263"/>
      <c r="FC761" s="1263"/>
      <c r="FD761" s="1264"/>
      <c r="FE761" s="1414">
        <f>SUM(FE726:FI760)</f>
        <v>9840</v>
      </c>
      <c r="FF761" s="1263"/>
      <c r="FG761" s="1263"/>
      <c r="FH761" s="1263"/>
      <c r="FI761" s="1264"/>
      <c r="FJ761" s="1414">
        <f>SUM(FJ726:FN760)</f>
        <v>7970</v>
      </c>
      <c r="FK761" s="1263"/>
      <c r="FL761" s="1263"/>
      <c r="FM761" s="1263"/>
      <c r="FN761" s="1264"/>
      <c r="FO761" s="1414">
        <f>SUM(FO726:FS760)</f>
        <v>13763</v>
      </c>
      <c r="FP761" s="1263"/>
      <c r="FQ761" s="1263"/>
      <c r="FR761" s="1263"/>
      <c r="FS761" s="1264"/>
      <c r="FT761" s="1414">
        <f>SUM(FT726:FX760)</f>
        <v>5857</v>
      </c>
      <c r="FU761" s="1263"/>
      <c r="FV761" s="1263"/>
      <c r="FW761" s="1263"/>
      <c r="FX761" s="1264"/>
      <c r="FY761" s="1414">
        <f>SUM(FY726:GC760)</f>
        <v>0</v>
      </c>
      <c r="FZ761" s="1263"/>
      <c r="GA761" s="1263"/>
      <c r="GB761" s="1263"/>
      <c r="GC761" s="1264"/>
    </row>
    <row r="762" spans="1:185" s="3" customFormat="1" ht="12.9" customHeight="1">
      <c r="B762" s="1663" t="s">
        <v>1558</v>
      </c>
      <c r="C762" s="1664"/>
      <c r="D762" s="1664"/>
      <c r="E762" s="1664"/>
      <c r="F762" s="1664"/>
      <c r="G762" s="1664"/>
      <c r="H762" s="1664"/>
      <c r="I762" s="1664"/>
      <c r="J762" s="1664"/>
      <c r="K762" s="1664"/>
      <c r="L762" s="1664"/>
      <c r="M762" s="1664"/>
      <c r="N762" s="1664"/>
      <c r="O762" s="1664"/>
      <c r="P762" s="1664"/>
      <c r="Q762" s="1664"/>
      <c r="R762" s="1664"/>
      <c r="S762" s="1664"/>
      <c r="T762" s="1664"/>
      <c r="U762" s="1664"/>
      <c r="V762" s="1664"/>
      <c r="W762" s="1664"/>
      <c r="X762" s="1664"/>
      <c r="Y762" s="1664"/>
      <c r="Z762" s="1664"/>
      <c r="AA762" s="1664"/>
      <c r="AB762" s="1664"/>
      <c r="AC762" s="1664"/>
      <c r="AD762" s="1664"/>
      <c r="AE762" s="1664"/>
      <c r="AF762" s="1664"/>
      <c r="AG762" s="1664"/>
      <c r="AH762" s="1664"/>
      <c r="DN762" s="56" t="s">
        <v>1559</v>
      </c>
      <c r="DO762" s="1414">
        <f>CP761+CU761+CZ761+DE761+DJ761+DO761</f>
        <v>64</v>
      </c>
      <c r="DP762" s="1263"/>
      <c r="DQ762" s="1263"/>
      <c r="DR762" s="1263"/>
      <c r="DS762" s="1264"/>
      <c r="DT762" s="354"/>
    </row>
    <row r="763" spans="1:185" ht="12.9" customHeight="1">
      <c r="B763" s="1298"/>
      <c r="C763" s="1298"/>
      <c r="D763" s="1298"/>
      <c r="E763" s="1298"/>
      <c r="F763" s="1298"/>
      <c r="G763" s="1298"/>
      <c r="H763" s="1298"/>
      <c r="I763" s="1298"/>
      <c r="J763" s="1298"/>
      <c r="K763" s="1298"/>
      <c r="L763" s="1298"/>
      <c r="M763" s="1298"/>
      <c r="N763" s="1298"/>
      <c r="O763" s="1298"/>
      <c r="P763" s="1298"/>
      <c r="Q763" s="1298"/>
      <c r="R763" s="1298"/>
      <c r="S763" s="1298"/>
      <c r="T763" s="1298"/>
      <c r="U763" s="1298"/>
      <c r="V763" s="1298"/>
      <c r="W763" s="1298"/>
      <c r="X763" s="1298"/>
      <c r="Y763" s="1298"/>
      <c r="Z763" s="1298"/>
      <c r="AA763" s="1298"/>
      <c r="AB763" s="1298"/>
      <c r="AC763" s="1298"/>
      <c r="AD763" s="1298"/>
      <c r="AE763" s="1298"/>
      <c r="AF763" s="1298"/>
      <c r="AG763" s="1298"/>
      <c r="AH763" s="1298"/>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12</v>
      </c>
      <c r="CZ763" s="3"/>
      <c r="DA763" s="3"/>
      <c r="DB763" s="3"/>
      <c r="DC763" s="3"/>
      <c r="DD763" s="857">
        <f>CZ761*2</f>
        <v>36</v>
      </c>
      <c r="DE763" s="3"/>
      <c r="DF763" s="3"/>
      <c r="DG763" s="3"/>
      <c r="DH763" s="3"/>
      <c r="DI763" s="857">
        <f>DE761*3</f>
        <v>84</v>
      </c>
      <c r="DJ763" s="3"/>
      <c r="DK763" s="3"/>
      <c r="DL763" s="3"/>
      <c r="DM763" s="3"/>
      <c r="DN763" s="857">
        <f>DJ761*4</f>
        <v>24</v>
      </c>
      <c r="DO763" s="3"/>
      <c r="DP763" s="3"/>
      <c r="DQ763" s="3"/>
      <c r="DR763" s="3"/>
      <c r="DS763" s="857">
        <f>DO761*5</f>
        <v>0</v>
      </c>
      <c r="DU763" s="857">
        <f>CT763+CY763+DD763+DI763+DN763+DS763</f>
        <v>156</v>
      </c>
      <c r="DV763" s="57" t="s">
        <v>1560</v>
      </c>
      <c r="DW763" s="3"/>
      <c r="DX763" s="3"/>
      <c r="DY763" s="3"/>
      <c r="DZ763" s="3"/>
      <c r="EA763" s="3"/>
      <c r="EB763" s="3"/>
      <c r="EC763" s="3"/>
      <c r="ED763" s="3"/>
      <c r="EE763" s="3"/>
      <c r="EF763" s="3"/>
      <c r="EG763" s="3"/>
      <c r="EH763" s="3"/>
    </row>
    <row r="764" spans="1:185" ht="12.9" customHeight="1">
      <c r="A764" s="3"/>
      <c r="B764" s="3"/>
      <c r="C764" s="118" t="s">
        <v>1561</v>
      </c>
      <c r="D764" s="1027"/>
      <c r="E764" s="1027"/>
      <c r="F764" s="1027"/>
      <c r="G764" s="1028"/>
      <c r="H764" s="1028"/>
      <c r="I764" s="1028"/>
      <c r="J764" s="1028"/>
      <c r="K764" s="1027"/>
      <c r="L764" s="1027"/>
      <c r="M764" s="1027"/>
      <c r="N764" s="1027"/>
      <c r="O764" s="1414">
        <f>DU763</f>
        <v>156</v>
      </c>
      <c r="P764" s="1263"/>
      <c r="Q764" s="1263"/>
      <c r="R764" s="1264"/>
      <c r="S764" s="965"/>
      <c r="T764" s="965"/>
      <c r="U764" s="118" t="s">
        <v>1562</v>
      </c>
      <c r="V764" s="1027"/>
      <c r="W764" s="1027"/>
      <c r="X764" s="1027"/>
      <c r="Y764" s="1028"/>
      <c r="Z764" s="1028"/>
      <c r="AA764" s="1028"/>
      <c r="AB764" s="1028"/>
      <c r="AC764" s="1027"/>
      <c r="AD764" s="1027"/>
      <c r="AE764" s="1027"/>
      <c r="AF764" s="1027"/>
      <c r="AG764" s="1566">
        <v>0</v>
      </c>
      <c r="AH764" s="1374"/>
      <c r="AI764" s="1374"/>
      <c r="AJ764" s="1375"/>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 customHeight="1">
      <c r="B765" s="57"/>
      <c r="C765" s="1627" t="str">
        <f>IF(G761&lt;&gt;AG449,"! Total Low-Income Units in the Unit Mix Table above does not match the number of Total Low-Income Units on row #"&amp;TEXT(ROW(D449),"#"),"")</f>
        <v/>
      </c>
      <c r="D765" s="1298"/>
      <c r="E765" s="1298"/>
      <c r="F765" s="1298"/>
      <c r="G765" s="1298"/>
      <c r="H765" s="1298"/>
      <c r="I765" s="1298"/>
      <c r="J765" s="1298"/>
      <c r="K765" s="1298"/>
      <c r="L765" s="1298"/>
      <c r="M765" s="1298"/>
      <c r="N765" s="1298"/>
      <c r="O765" s="1298"/>
      <c r="P765" s="1298"/>
      <c r="Q765" s="1298"/>
      <c r="R765" s="1298"/>
      <c r="S765" s="1298"/>
      <c r="T765" s="1298"/>
      <c r="U765" s="1298"/>
      <c r="V765" s="1298"/>
      <c r="W765" s="1298"/>
      <c r="X765" s="1298"/>
      <c r="Y765" s="1298"/>
      <c r="Z765" s="1298"/>
      <c r="AA765" s="1298"/>
      <c r="AB765" s="1298"/>
      <c r="AC765" s="1298"/>
      <c r="AD765" s="1298"/>
      <c r="AE765" s="1298"/>
      <c r="AF765" s="1298"/>
      <c r="AG765" s="1298"/>
      <c r="AH765" s="1298"/>
      <c r="AI765" s="1298"/>
      <c r="AJ765" s="1298"/>
      <c r="AK765" s="1298"/>
      <c r="AL765" s="1298"/>
      <c r="AM765" s="1298"/>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 customHeight="1">
      <c r="B766" s="57"/>
      <c r="C766" s="1298"/>
      <c r="D766" s="1298"/>
      <c r="E766" s="1298"/>
      <c r="F766" s="1298"/>
      <c r="G766" s="1298"/>
      <c r="H766" s="1298"/>
      <c r="I766" s="1298"/>
      <c r="J766" s="1298"/>
      <c r="K766" s="1298"/>
      <c r="L766" s="1298"/>
      <c r="M766" s="1298"/>
      <c r="N766" s="1298"/>
      <c r="O766" s="1298"/>
      <c r="P766" s="1298"/>
      <c r="Q766" s="1298"/>
      <c r="R766" s="1298"/>
      <c r="S766" s="1298"/>
      <c r="T766" s="1298"/>
      <c r="U766" s="1298"/>
      <c r="V766" s="1298"/>
      <c r="W766" s="1298"/>
      <c r="X766" s="1298"/>
      <c r="Y766" s="1298"/>
      <c r="Z766" s="1298"/>
      <c r="AA766" s="1298"/>
      <c r="AB766" s="1298"/>
      <c r="AC766" s="1298"/>
      <c r="AD766" s="1298"/>
      <c r="AE766" s="1298"/>
      <c r="AF766" s="1298"/>
      <c r="AG766" s="1298"/>
      <c r="AH766" s="1298"/>
      <c r="AI766" s="1298"/>
      <c r="AJ766" s="1298"/>
      <c r="AK766" s="1298"/>
      <c r="AL766" s="1298"/>
      <c r="AM766" s="1298"/>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 customHeight="1">
      <c r="B767" s="3"/>
      <c r="C767" s="118" t="s">
        <v>1563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36" t="s">
        <v>935</v>
      </c>
      <c r="AE767" s="1294"/>
      <c r="AF767" s="1294"/>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 customHeight="1">
      <c r="C768" s="1030" t="s">
        <v>1564</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 customHeight="1">
      <c r="A769" s="2" t="s">
        <v>1031</v>
      </c>
      <c r="B769" s="56"/>
      <c r="C769" s="57" t="s">
        <v>1565</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 customHeight="1">
      <c r="A770" s="3"/>
      <c r="B770" s="1027"/>
      <c r="C770" s="118" t="s">
        <v>1566</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 customHeight="1">
      <c r="A771" s="3"/>
      <c r="B771" s="1027"/>
      <c r="C771" s="1300" t="s">
        <v>1567</v>
      </c>
      <c r="D771" s="1298"/>
      <c r="E771" s="1298"/>
      <c r="F771" s="1298"/>
      <c r="G771" s="1298"/>
      <c r="H771" s="1298"/>
      <c r="I771" s="1298"/>
      <c r="J771" s="1298"/>
      <c r="K771" s="1298"/>
      <c r="L771" s="1298"/>
      <c r="M771" s="1298"/>
      <c r="N771" s="1298"/>
      <c r="O771" s="1298"/>
      <c r="P771" s="1298"/>
      <c r="Q771" s="1298"/>
      <c r="R771" s="1298"/>
      <c r="S771" s="1298"/>
      <c r="T771" s="1298"/>
      <c r="U771" s="1298"/>
      <c r="V771" s="1298"/>
      <c r="W771" s="1298"/>
      <c r="X771" s="1298"/>
      <c r="Y771" s="1298"/>
      <c r="Z771" s="1298"/>
      <c r="AA771" s="1298"/>
      <c r="AB771" s="1298"/>
      <c r="AC771" s="1298"/>
      <c r="AD771" s="1298"/>
      <c r="AE771" s="1298"/>
      <c r="AF771" s="1298"/>
      <c r="AG771" s="1298"/>
      <c r="AH771" s="1298"/>
      <c r="AI771" s="1298"/>
      <c r="AJ771" s="1298"/>
      <c r="AK771" s="1298"/>
      <c r="AL771" s="1298"/>
      <c r="AM771" s="1298"/>
      <c r="AN771" s="1298"/>
      <c r="AO771" s="1298"/>
      <c r="AP771" s="1298"/>
      <c r="AQ771" s="1298"/>
      <c r="AR771" s="1298"/>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 customHeight="1">
      <c r="A772" s="3"/>
      <c r="B772" s="1027"/>
      <c r="C772" s="1298"/>
      <c r="D772" s="1298"/>
      <c r="E772" s="1298"/>
      <c r="F772" s="1298"/>
      <c r="G772" s="1298"/>
      <c r="H772" s="1298"/>
      <c r="I772" s="1298"/>
      <c r="J772" s="1298"/>
      <c r="K772" s="1298"/>
      <c r="L772" s="1298"/>
      <c r="M772" s="1298"/>
      <c r="N772" s="1298"/>
      <c r="O772" s="1298"/>
      <c r="P772" s="1298"/>
      <c r="Q772" s="1298"/>
      <c r="R772" s="1298"/>
      <c r="S772" s="1298"/>
      <c r="T772" s="1298"/>
      <c r="U772" s="1298"/>
      <c r="V772" s="1298"/>
      <c r="W772" s="1298"/>
      <c r="X772" s="1298"/>
      <c r="Y772" s="1298"/>
      <c r="Z772" s="1298"/>
      <c r="AA772" s="1298"/>
      <c r="AB772" s="1298"/>
      <c r="AC772" s="1298"/>
      <c r="AD772" s="1298"/>
      <c r="AE772" s="1298"/>
      <c r="AF772" s="1298"/>
      <c r="AG772" s="1298"/>
      <c r="AH772" s="1298"/>
      <c r="AI772" s="1298"/>
      <c r="AJ772" s="1298"/>
      <c r="AK772" s="1298"/>
      <c r="AL772" s="1298"/>
      <c r="AM772" s="1298"/>
      <c r="AN772" s="1298"/>
      <c r="AO772" s="1298"/>
      <c r="AP772" s="1298"/>
      <c r="AQ772" s="1298"/>
      <c r="AR772" s="1298"/>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 customHeight="1">
      <c r="A773" s="3"/>
      <c r="B773" s="1027"/>
      <c r="C773" s="1298"/>
      <c r="D773" s="1298"/>
      <c r="E773" s="1298"/>
      <c r="F773" s="1298"/>
      <c r="G773" s="1298"/>
      <c r="H773" s="1298"/>
      <c r="I773" s="1298"/>
      <c r="J773" s="1298"/>
      <c r="K773" s="1298"/>
      <c r="L773" s="1298"/>
      <c r="M773" s="1298"/>
      <c r="N773" s="1298"/>
      <c r="O773" s="1298"/>
      <c r="P773" s="1298"/>
      <c r="Q773" s="1298"/>
      <c r="R773" s="1298"/>
      <c r="S773" s="1298"/>
      <c r="T773" s="1298"/>
      <c r="U773" s="1298"/>
      <c r="V773" s="1298"/>
      <c r="W773" s="1298"/>
      <c r="X773" s="1298"/>
      <c r="Y773" s="1298"/>
      <c r="Z773" s="1298"/>
      <c r="AA773" s="1298"/>
      <c r="AB773" s="1298"/>
      <c r="AC773" s="1298"/>
      <c r="AD773" s="1298"/>
      <c r="AE773" s="1298"/>
      <c r="AF773" s="1298"/>
      <c r="AG773" s="1298"/>
      <c r="AH773" s="1298"/>
      <c r="AI773" s="1298"/>
      <c r="AJ773" s="1298"/>
      <c r="AK773" s="1298"/>
      <c r="AL773" s="1298"/>
      <c r="AM773" s="1298"/>
      <c r="AN773" s="1298"/>
      <c r="AO773" s="1298"/>
      <c r="AP773" s="1298"/>
      <c r="AQ773" s="1298"/>
      <c r="AR773" s="1298"/>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 customHeight="1">
      <c r="A774" s="3"/>
      <c r="B774" s="1027"/>
      <c r="C774" s="1300" t="s">
        <v>1568</v>
      </c>
      <c r="D774" s="1298"/>
      <c r="E774" s="1298"/>
      <c r="F774" s="1298"/>
      <c r="G774" s="1298"/>
      <c r="H774" s="1298"/>
      <c r="I774" s="1298"/>
      <c r="J774" s="1298"/>
      <c r="K774" s="1298"/>
      <c r="L774" s="1298"/>
      <c r="M774" s="1298"/>
      <c r="N774" s="1298"/>
      <c r="O774" s="1298"/>
      <c r="P774" s="1298"/>
      <c r="Q774" s="1298"/>
      <c r="R774" s="1298"/>
      <c r="S774" s="1298"/>
      <c r="T774" s="1298"/>
      <c r="U774" s="1298"/>
      <c r="V774" s="1298"/>
      <c r="W774" s="1298"/>
      <c r="X774" s="1298"/>
      <c r="Y774" s="1298"/>
      <c r="Z774" s="1298"/>
      <c r="AA774" s="1298"/>
      <c r="AB774" s="1298"/>
      <c r="AC774" s="1298"/>
      <c r="AD774" s="1298"/>
      <c r="AE774" s="1298"/>
      <c r="AF774" s="1298"/>
      <c r="AG774" s="1298"/>
      <c r="AH774" s="1298"/>
      <c r="AI774" s="1298"/>
      <c r="AJ774" s="1298"/>
      <c r="AK774" s="1298"/>
      <c r="AL774" s="1298"/>
      <c r="AM774" s="1298"/>
      <c r="AN774" s="1298"/>
      <c r="AO774" s="1298"/>
      <c r="AP774" s="1298"/>
      <c r="AQ774" s="1298"/>
      <c r="AR774" s="1298"/>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 customHeight="1">
      <c r="A775" s="3"/>
      <c r="B775" s="1027"/>
      <c r="C775" s="1298"/>
      <c r="D775" s="1298"/>
      <c r="E775" s="1298"/>
      <c r="F775" s="1298"/>
      <c r="G775" s="1298"/>
      <c r="H775" s="1298"/>
      <c r="I775" s="1298"/>
      <c r="J775" s="1298"/>
      <c r="K775" s="1298"/>
      <c r="L775" s="1298"/>
      <c r="M775" s="1298"/>
      <c r="N775" s="1298"/>
      <c r="O775" s="1298"/>
      <c r="P775" s="1298"/>
      <c r="Q775" s="1298"/>
      <c r="R775" s="1298"/>
      <c r="S775" s="1298"/>
      <c r="T775" s="1298"/>
      <c r="U775" s="1298"/>
      <c r="V775" s="1298"/>
      <c r="W775" s="1298"/>
      <c r="X775" s="1298"/>
      <c r="Y775" s="1298"/>
      <c r="Z775" s="1298"/>
      <c r="AA775" s="1298"/>
      <c r="AB775" s="1298"/>
      <c r="AC775" s="1298"/>
      <c r="AD775" s="1298"/>
      <c r="AE775" s="1298"/>
      <c r="AF775" s="1298"/>
      <c r="AG775" s="1298"/>
      <c r="AH775" s="1298"/>
      <c r="AI775" s="1298"/>
      <c r="AJ775" s="1298"/>
      <c r="AK775" s="1298"/>
      <c r="AL775" s="1298"/>
      <c r="AM775" s="1298"/>
      <c r="AN775" s="1298"/>
      <c r="AO775" s="1298"/>
      <c r="AP775" s="1298"/>
      <c r="AQ775" s="1298"/>
      <c r="AR775" s="1298"/>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 customHeight="1">
      <c r="A776" s="3"/>
      <c r="B776" s="1027"/>
      <c r="C776" s="1298"/>
      <c r="D776" s="1298"/>
      <c r="E776" s="1298"/>
      <c r="F776" s="1298"/>
      <c r="G776" s="1298"/>
      <c r="H776" s="1298"/>
      <c r="I776" s="1298"/>
      <c r="J776" s="1298"/>
      <c r="K776" s="1298"/>
      <c r="L776" s="1298"/>
      <c r="M776" s="1298"/>
      <c r="N776" s="1298"/>
      <c r="O776" s="1298"/>
      <c r="P776" s="1298"/>
      <c r="Q776" s="1298"/>
      <c r="R776" s="1298"/>
      <c r="S776" s="1298"/>
      <c r="T776" s="1298"/>
      <c r="U776" s="1298"/>
      <c r="V776" s="1298"/>
      <c r="W776" s="1298"/>
      <c r="X776" s="1298"/>
      <c r="Y776" s="1298"/>
      <c r="Z776" s="1298"/>
      <c r="AA776" s="1298"/>
      <c r="AB776" s="1298"/>
      <c r="AC776" s="1298"/>
      <c r="AD776" s="1298"/>
      <c r="AE776" s="1298"/>
      <c r="AF776" s="1298"/>
      <c r="AG776" s="1298"/>
      <c r="AH776" s="1298"/>
      <c r="AI776" s="1298"/>
      <c r="AJ776" s="1298"/>
      <c r="AK776" s="1298"/>
      <c r="AL776" s="1298"/>
      <c r="AM776" s="1298"/>
      <c r="AN776" s="1298"/>
      <c r="AO776" s="1298"/>
      <c r="AP776" s="1298"/>
      <c r="AQ776" s="1298"/>
      <c r="AR776" s="1298"/>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 customHeight="1">
      <c r="J777" s="1444" t="s">
        <v>1534</v>
      </c>
      <c r="K777" s="1417"/>
      <c r="L777" s="1417"/>
      <c r="M777" s="1417"/>
      <c r="N777" s="1423"/>
      <c r="O777" s="1444" t="s">
        <v>1535</v>
      </c>
      <c r="P777" s="1417"/>
      <c r="Q777" s="1417"/>
      <c r="R777" s="1417"/>
      <c r="S777" s="1423"/>
      <c r="T777" s="1422" t="s">
        <v>1536</v>
      </c>
      <c r="U777" s="1417"/>
      <c r="V777" s="1417"/>
      <c r="W777" s="1423"/>
      <c r="X777" s="1444" t="s">
        <v>1537</v>
      </c>
      <c r="Y777" s="1417"/>
      <c r="Z777" s="1417"/>
      <c r="AA777" s="1417"/>
      <c r="AB777" s="1423"/>
      <c r="AC777" s="1444" t="s">
        <v>1569</v>
      </c>
      <c r="AD777" s="1417"/>
      <c r="AE777" s="1417"/>
      <c r="AF777" s="1417"/>
      <c r="AG777" s="1423"/>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 customHeight="1">
      <c r="J778" s="1403"/>
      <c r="K778" s="1298"/>
      <c r="L778" s="1298"/>
      <c r="M778" s="1298"/>
      <c r="N778" s="1383"/>
      <c r="O778" s="1403"/>
      <c r="P778" s="1298"/>
      <c r="Q778" s="1298"/>
      <c r="R778" s="1298"/>
      <c r="S778" s="1383"/>
      <c r="T778" s="1403"/>
      <c r="U778" s="1298"/>
      <c r="V778" s="1298"/>
      <c r="W778" s="1383"/>
      <c r="X778" s="1403"/>
      <c r="Y778" s="1298"/>
      <c r="Z778" s="1298"/>
      <c r="AA778" s="1298"/>
      <c r="AB778" s="1383"/>
      <c r="AC778" s="1403"/>
      <c r="AD778" s="1298"/>
      <c r="AE778" s="1298"/>
      <c r="AF778" s="1298"/>
      <c r="AG778" s="138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 customHeight="1">
      <c r="J779" s="1403"/>
      <c r="K779" s="1298"/>
      <c r="L779" s="1298"/>
      <c r="M779" s="1298"/>
      <c r="N779" s="1383"/>
      <c r="O779" s="1403"/>
      <c r="P779" s="1298"/>
      <c r="Q779" s="1298"/>
      <c r="R779" s="1298"/>
      <c r="S779" s="1383"/>
      <c r="T779" s="1403"/>
      <c r="U779" s="1298"/>
      <c r="V779" s="1298"/>
      <c r="W779" s="1383"/>
      <c r="X779" s="1403"/>
      <c r="Y779" s="1298"/>
      <c r="Z779" s="1298"/>
      <c r="AA779" s="1298"/>
      <c r="AB779" s="1383"/>
      <c r="AC779" s="1403"/>
      <c r="AD779" s="1298"/>
      <c r="AE779" s="1298"/>
      <c r="AF779" s="1298"/>
      <c r="AG779" s="138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 customHeight="1">
      <c r="J780" s="1404"/>
      <c r="K780" s="1405"/>
      <c r="L780" s="1405"/>
      <c r="M780" s="1405"/>
      <c r="N780" s="1296"/>
      <c r="O780" s="1404"/>
      <c r="P780" s="1405"/>
      <c r="Q780" s="1405"/>
      <c r="R780" s="1405"/>
      <c r="S780" s="1296"/>
      <c r="T780" s="1404"/>
      <c r="U780" s="1405"/>
      <c r="V780" s="1405"/>
      <c r="W780" s="1296"/>
      <c r="X780" s="1404"/>
      <c r="Y780" s="1405"/>
      <c r="Z780" s="1405"/>
      <c r="AA780" s="1405"/>
      <c r="AB780" s="1296"/>
      <c r="AC780" s="1404"/>
      <c r="AD780" s="1405"/>
      <c r="AE780" s="1405"/>
      <c r="AF780" s="1405"/>
      <c r="AG780" s="129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1570</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 customHeight="1">
      <c r="J781" s="1392" t="s">
        <v>956</v>
      </c>
      <c r="K781" s="1374"/>
      <c r="L781" s="1374"/>
      <c r="M781" s="1374"/>
      <c r="N781" s="1375"/>
      <c r="O781" s="1420">
        <v>1</v>
      </c>
      <c r="P781" s="1374"/>
      <c r="Q781" s="1374"/>
      <c r="R781" s="1374"/>
      <c r="S781" s="1375"/>
      <c r="T781" s="1406">
        <v>740</v>
      </c>
      <c r="U781" s="1374"/>
      <c r="V781" s="1374"/>
      <c r="W781" s="1375"/>
      <c r="X781" s="1376">
        <v>0</v>
      </c>
      <c r="Y781" s="1374"/>
      <c r="Z781" s="1374"/>
      <c r="AA781" s="1374"/>
      <c r="AB781" s="1375"/>
      <c r="AC781" s="1424">
        <f>X781*O781</f>
        <v>0</v>
      </c>
      <c r="AD781" s="1263"/>
      <c r="AE781" s="1263"/>
      <c r="AF781" s="1263"/>
      <c r="AG781" s="1264"/>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79">
        <f>IF(J781="SRO/Studio",O781,0)</f>
        <v>0</v>
      </c>
      <c r="CQ781" s="1263"/>
      <c r="CR781" s="1263"/>
      <c r="CS781" s="1263"/>
      <c r="CT781" s="1264"/>
      <c r="CU781" s="1379">
        <f>IF(J781="1 Bedroom",O781,0)</f>
        <v>0</v>
      </c>
      <c r="CV781" s="1263"/>
      <c r="CW781" s="1263"/>
      <c r="CX781" s="1263"/>
      <c r="CY781" s="1264"/>
      <c r="CZ781" s="1379">
        <f>IF(J781="2 Bedrooms",O781,0)</f>
        <v>1</v>
      </c>
      <c r="DA781" s="1263"/>
      <c r="DB781" s="1263"/>
      <c r="DC781" s="1263"/>
      <c r="DD781" s="1264"/>
      <c r="DE781" s="1379">
        <f>IF(J781="3 Bedrooms",O781,0)</f>
        <v>0</v>
      </c>
      <c r="DF781" s="1263"/>
      <c r="DG781" s="1263"/>
      <c r="DH781" s="1263"/>
      <c r="DI781" s="1264"/>
      <c r="DJ781" s="1379">
        <f>IF(J781="4 Bedrooms",O781,0)</f>
        <v>0</v>
      </c>
      <c r="DK781" s="1263"/>
      <c r="DL781" s="1263"/>
      <c r="DM781" s="1263"/>
      <c r="DN781" s="1264"/>
      <c r="DO781" s="1379">
        <f>IF(J781="5 Bedrooms",O781,0)</f>
        <v>0</v>
      </c>
      <c r="DP781" s="1263"/>
      <c r="DQ781" s="1263"/>
      <c r="DR781" s="1263"/>
      <c r="DS781" s="1264"/>
      <c r="DT781" s="6"/>
      <c r="DU781" s="3"/>
      <c r="DV781" s="3"/>
    </row>
    <row r="782" spans="1:159" ht="12.9" customHeight="1">
      <c r="J782" s="1392" t="s">
        <v>956</v>
      </c>
      <c r="K782" s="1374"/>
      <c r="L782" s="1374"/>
      <c r="M782" s="1374"/>
      <c r="N782" s="1375"/>
      <c r="O782" s="1420">
        <v>1</v>
      </c>
      <c r="P782" s="1374"/>
      <c r="Q782" s="1374"/>
      <c r="R782" s="1374"/>
      <c r="S782" s="1375"/>
      <c r="T782" s="1406">
        <v>744</v>
      </c>
      <c r="U782" s="1374"/>
      <c r="V782" s="1374"/>
      <c r="W782" s="1375"/>
      <c r="X782" s="1376">
        <v>0</v>
      </c>
      <c r="Y782" s="1374"/>
      <c r="Z782" s="1374"/>
      <c r="AA782" s="1374"/>
      <c r="AB782" s="1375"/>
      <c r="AC782" s="1424">
        <f>X782*O782</f>
        <v>0</v>
      </c>
      <c r="AD782" s="1263"/>
      <c r="AE782" s="1263"/>
      <c r="AF782" s="1263"/>
      <c r="AG782" s="1264"/>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79">
        <f>IF(J782="SRO/Studio",O782,0)</f>
        <v>0</v>
      </c>
      <c r="CQ782" s="1263"/>
      <c r="CR782" s="1263"/>
      <c r="CS782" s="1263"/>
      <c r="CT782" s="1264"/>
      <c r="CU782" s="1379">
        <f>IF(J782="1 Bedroom",O782,0)</f>
        <v>0</v>
      </c>
      <c r="CV782" s="1263"/>
      <c r="CW782" s="1263"/>
      <c r="CX782" s="1263"/>
      <c r="CY782" s="1264"/>
      <c r="CZ782" s="1379">
        <f>IF(J782="2 Bedrooms",O782,0)</f>
        <v>1</v>
      </c>
      <c r="DA782" s="1263"/>
      <c r="DB782" s="1263"/>
      <c r="DC782" s="1263"/>
      <c r="DD782" s="1264"/>
      <c r="DE782" s="1379">
        <f>IF(J782="3 Bedrooms",O782,0)</f>
        <v>0</v>
      </c>
      <c r="DF782" s="1263"/>
      <c r="DG782" s="1263"/>
      <c r="DH782" s="1263"/>
      <c r="DI782" s="1264"/>
      <c r="DJ782" s="1379">
        <f>IF(J782="4 Bedrooms",O782,0)</f>
        <v>0</v>
      </c>
      <c r="DK782" s="1263"/>
      <c r="DL782" s="1263"/>
      <c r="DM782" s="1263"/>
      <c r="DN782" s="1264"/>
      <c r="DO782" s="1379">
        <f>IF(J782="5 Bedrooms",O782,0)</f>
        <v>0</v>
      </c>
      <c r="DP782" s="1263"/>
      <c r="DQ782" s="1263"/>
      <c r="DR782" s="1263"/>
      <c r="DS782" s="1264"/>
      <c r="DT782" s="6"/>
      <c r="DU782" s="3"/>
      <c r="DV782" s="3"/>
    </row>
    <row r="783" spans="1:159" ht="12.9" customHeight="1">
      <c r="J783" s="1392"/>
      <c r="K783" s="1374"/>
      <c r="L783" s="1374"/>
      <c r="M783" s="1374"/>
      <c r="N783" s="1375"/>
      <c r="O783" s="1420"/>
      <c r="P783" s="1374"/>
      <c r="Q783" s="1374"/>
      <c r="R783" s="1374"/>
      <c r="S783" s="1375"/>
      <c r="T783" s="1406"/>
      <c r="U783" s="1374"/>
      <c r="V783" s="1374"/>
      <c r="W783" s="1375"/>
      <c r="X783" s="1376"/>
      <c r="Y783" s="1374"/>
      <c r="Z783" s="1374"/>
      <c r="AA783" s="1374"/>
      <c r="AB783" s="1375"/>
      <c r="AC783" s="1424">
        <f>X783*O783</f>
        <v>0</v>
      </c>
      <c r="AD783" s="1263"/>
      <c r="AE783" s="1263"/>
      <c r="AF783" s="1263"/>
      <c r="AG783" s="1264"/>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79">
        <f>IF(J783="SRO/Studio",O783,0)</f>
        <v>0</v>
      </c>
      <c r="CQ783" s="1263"/>
      <c r="CR783" s="1263"/>
      <c r="CS783" s="1263"/>
      <c r="CT783" s="1264"/>
      <c r="CU783" s="1379">
        <f>IF(J783="1 Bedroom",O783,0)</f>
        <v>0</v>
      </c>
      <c r="CV783" s="1263"/>
      <c r="CW783" s="1263"/>
      <c r="CX783" s="1263"/>
      <c r="CY783" s="1264"/>
      <c r="CZ783" s="1379">
        <f>IF(J783="2 Bedrooms",O783,0)</f>
        <v>0</v>
      </c>
      <c r="DA783" s="1263"/>
      <c r="DB783" s="1263"/>
      <c r="DC783" s="1263"/>
      <c r="DD783" s="1264"/>
      <c r="DE783" s="1379">
        <f>IF(J783="3 Bedrooms",O783,0)</f>
        <v>0</v>
      </c>
      <c r="DF783" s="1263"/>
      <c r="DG783" s="1263"/>
      <c r="DH783" s="1263"/>
      <c r="DI783" s="1264"/>
      <c r="DJ783" s="1379">
        <f>IF(J783="4 Bedrooms",O783,0)</f>
        <v>0</v>
      </c>
      <c r="DK783" s="1263"/>
      <c r="DL783" s="1263"/>
      <c r="DM783" s="1263"/>
      <c r="DN783" s="1264"/>
      <c r="DO783" s="1379">
        <f>IF(J783="5 Bedrooms",O783,0)</f>
        <v>0</v>
      </c>
      <c r="DP783" s="1263"/>
      <c r="DQ783" s="1263"/>
      <c r="DR783" s="1263"/>
      <c r="DS783" s="1264"/>
      <c r="DT783" s="1007"/>
    </row>
    <row r="784" spans="1:159" ht="12.9" customHeight="1">
      <c r="J784" s="1392"/>
      <c r="K784" s="1374"/>
      <c r="L784" s="1374"/>
      <c r="M784" s="1374"/>
      <c r="N784" s="1375"/>
      <c r="O784" s="1420"/>
      <c r="P784" s="1374"/>
      <c r="Q784" s="1374"/>
      <c r="R784" s="1374"/>
      <c r="S784" s="1375"/>
      <c r="T784" s="1406"/>
      <c r="U784" s="1374"/>
      <c r="V784" s="1374"/>
      <c r="W784" s="1375"/>
      <c r="X784" s="1376"/>
      <c r="Y784" s="1374"/>
      <c r="Z784" s="1374"/>
      <c r="AA784" s="1374"/>
      <c r="AB784" s="1375"/>
      <c r="AC784" s="1424">
        <f>X784*O784</f>
        <v>0</v>
      </c>
      <c r="AD784" s="1263"/>
      <c r="AE784" s="1263"/>
      <c r="AF784" s="1263"/>
      <c r="AG784" s="1264"/>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79">
        <f>IF(J784="SRO/Studio",O784,0)</f>
        <v>0</v>
      </c>
      <c r="CQ784" s="1263"/>
      <c r="CR784" s="1263"/>
      <c r="CS784" s="1263"/>
      <c r="CT784" s="1264"/>
      <c r="CU784" s="1379">
        <f>IF(J784="1 Bedroom",O784,0)</f>
        <v>0</v>
      </c>
      <c r="CV784" s="1263"/>
      <c r="CW784" s="1263"/>
      <c r="CX784" s="1263"/>
      <c r="CY784" s="1264"/>
      <c r="CZ784" s="1379">
        <f>IF(J784="2 Bedrooms",O784,0)</f>
        <v>0</v>
      </c>
      <c r="DA784" s="1263"/>
      <c r="DB784" s="1263"/>
      <c r="DC784" s="1263"/>
      <c r="DD784" s="1264"/>
      <c r="DE784" s="1379">
        <f>IF(J784="3 Bedrooms",O784,0)</f>
        <v>0</v>
      </c>
      <c r="DF784" s="1263"/>
      <c r="DG784" s="1263"/>
      <c r="DH784" s="1263"/>
      <c r="DI784" s="1264"/>
      <c r="DJ784" s="1379">
        <f>IF(J784="4 Bedrooms",O784,0)</f>
        <v>0</v>
      </c>
      <c r="DK784" s="1263"/>
      <c r="DL784" s="1263"/>
      <c r="DM784" s="1263"/>
      <c r="DN784" s="1264"/>
      <c r="DO784" s="1379">
        <f>IF(J784="5 Bedrooms",O784,0)</f>
        <v>0</v>
      </c>
      <c r="DP784" s="1263"/>
      <c r="DQ784" s="1263"/>
      <c r="DR784" s="1263"/>
      <c r="DS784" s="1264"/>
    </row>
    <row r="785" spans="1:154" ht="12.9" customHeight="1">
      <c r="J785" s="1498" t="s">
        <v>1554</v>
      </c>
      <c r="K785" s="1263"/>
      <c r="L785" s="1263"/>
      <c r="M785" s="1263"/>
      <c r="N785" s="1264"/>
      <c r="O785" s="1381">
        <f>SUM(O781:S784)</f>
        <v>2</v>
      </c>
      <c r="P785" s="1263"/>
      <c r="Q785" s="1263"/>
      <c r="R785" s="1263"/>
      <c r="S785" s="1264"/>
      <c r="X785" s="1498" t="s">
        <v>1555</v>
      </c>
      <c r="Y785" s="1263"/>
      <c r="Z785" s="1263"/>
      <c r="AA785" s="1263"/>
      <c r="AB785" s="1264"/>
      <c r="AC785" s="1424">
        <f>SUM(AC781:AG784)</f>
        <v>0</v>
      </c>
      <c r="AD785" s="1263"/>
      <c r="AE785" s="1263"/>
      <c r="AF785" s="1263"/>
      <c r="AG785" s="1264"/>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81">
        <f>SUM(CP781:CT784)</f>
        <v>0</v>
      </c>
      <c r="CQ785" s="1263"/>
      <c r="CR785" s="1263"/>
      <c r="CS785" s="1263"/>
      <c r="CT785" s="1264"/>
      <c r="CU785" s="1395">
        <f>SUM(CU781:CY784)</f>
        <v>0</v>
      </c>
      <c r="CV785" s="1263"/>
      <c r="CW785" s="1263"/>
      <c r="CX785" s="1263"/>
      <c r="CY785" s="1264"/>
      <c r="CZ785" s="1395">
        <f>SUM(CZ781:DD784)</f>
        <v>2</v>
      </c>
      <c r="DA785" s="1263"/>
      <c r="DB785" s="1263"/>
      <c r="DC785" s="1263"/>
      <c r="DD785" s="1264"/>
      <c r="DE785" s="1395">
        <f>SUM(DE781:DI784)</f>
        <v>0</v>
      </c>
      <c r="DF785" s="1263"/>
      <c r="DG785" s="1263"/>
      <c r="DH785" s="1263"/>
      <c r="DI785" s="1264"/>
      <c r="DJ785" s="1395">
        <f>SUM(DJ781:DN784)</f>
        <v>0</v>
      </c>
      <c r="DK785" s="1263"/>
      <c r="DL785" s="1263"/>
      <c r="DM785" s="1263"/>
      <c r="DN785" s="1264"/>
      <c r="DO785" s="1395">
        <f>SUM(DO781:DS784)</f>
        <v>0</v>
      </c>
      <c r="DP785" s="1263"/>
      <c r="DQ785" s="1263"/>
      <c r="DR785" s="1263"/>
      <c r="DS785" s="1264"/>
      <c r="DU785" s="857">
        <f>CP785+CU785+CZ785+DE785+DJ785+DO785</f>
        <v>2</v>
      </c>
      <c r="DV785" s="57" t="s">
        <v>1571</v>
      </c>
    </row>
    <row r="786" spans="1:154" ht="12.9"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0</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4</v>
      </c>
      <c r="DV786" s="57" t="s">
        <v>1572</v>
      </c>
    </row>
    <row r="787" spans="1:154" ht="12.9" customHeight="1">
      <c r="B787" s="56"/>
      <c r="C787" s="56"/>
      <c r="D787" s="56"/>
      <c r="E787" s="56"/>
      <c r="F787" s="56"/>
      <c r="G787" s="6"/>
      <c r="H787" s="6"/>
      <c r="I787" s="6"/>
      <c r="J787" s="1457" t="s">
        <v>811</v>
      </c>
      <c r="K787" s="1294"/>
      <c r="L787" s="56"/>
      <c r="M787" s="35" t="s">
        <v>1573</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 customHeight="1">
      <c r="B788" s="56"/>
      <c r="C788" s="56"/>
      <c r="D788" s="56"/>
      <c r="E788" s="56"/>
      <c r="F788" s="56"/>
      <c r="G788" s="6"/>
      <c r="H788" s="6"/>
      <c r="I788" s="6"/>
      <c r="J788" s="6"/>
      <c r="K788" s="6"/>
      <c r="L788" s="56"/>
      <c r="M788" s="35" t="s">
        <v>1574</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 customHeight="1">
      <c r="A789" s="2" t="s">
        <v>1106</v>
      </c>
      <c r="B789" s="57"/>
      <c r="C789" s="57" t="s">
        <v>321</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 customHeight="1">
      <c r="J791" s="1444" t="s">
        <v>1534</v>
      </c>
      <c r="K791" s="1417"/>
      <c r="L791" s="1417"/>
      <c r="M791" s="1417"/>
      <c r="N791" s="1423"/>
      <c r="O791" s="1444" t="s">
        <v>1535</v>
      </c>
      <c r="P791" s="1417"/>
      <c r="Q791" s="1417"/>
      <c r="R791" s="1417"/>
      <c r="S791" s="1423"/>
      <c r="T791" s="1422" t="s">
        <v>1536</v>
      </c>
      <c r="U791" s="1417"/>
      <c r="V791" s="1417"/>
      <c r="W791" s="1423"/>
      <c r="X791" s="1444" t="s">
        <v>1537</v>
      </c>
      <c r="Y791" s="1417"/>
      <c r="Z791" s="1417"/>
      <c r="AA791" s="1417"/>
      <c r="AB791" s="1423"/>
      <c r="AC791" s="1444" t="s">
        <v>1569</v>
      </c>
      <c r="AD791" s="1417"/>
      <c r="AE791" s="1417"/>
      <c r="AF791" s="1417"/>
      <c r="AG791" s="142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 customHeight="1">
      <c r="J792" s="1403"/>
      <c r="K792" s="1298"/>
      <c r="L792" s="1298"/>
      <c r="M792" s="1298"/>
      <c r="N792" s="1383"/>
      <c r="O792" s="1403"/>
      <c r="P792" s="1298"/>
      <c r="Q792" s="1298"/>
      <c r="R792" s="1298"/>
      <c r="S792" s="1383"/>
      <c r="T792" s="1403"/>
      <c r="U792" s="1298"/>
      <c r="V792" s="1298"/>
      <c r="W792" s="1383"/>
      <c r="X792" s="1403"/>
      <c r="Y792" s="1298"/>
      <c r="Z792" s="1298"/>
      <c r="AA792" s="1298"/>
      <c r="AB792" s="1383"/>
      <c r="AC792" s="1403"/>
      <c r="AD792" s="1298"/>
      <c r="AE792" s="1298"/>
      <c r="AF792" s="1298"/>
      <c r="AG792" s="138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 customHeight="1">
      <c r="J793" s="1403"/>
      <c r="K793" s="1298"/>
      <c r="L793" s="1298"/>
      <c r="M793" s="1298"/>
      <c r="N793" s="1383"/>
      <c r="O793" s="1403"/>
      <c r="P793" s="1298"/>
      <c r="Q793" s="1298"/>
      <c r="R793" s="1298"/>
      <c r="S793" s="1383"/>
      <c r="T793" s="1403"/>
      <c r="U793" s="1298"/>
      <c r="V793" s="1298"/>
      <c r="W793" s="1383"/>
      <c r="X793" s="1403"/>
      <c r="Y793" s="1298"/>
      <c r="Z793" s="1298"/>
      <c r="AA793" s="1298"/>
      <c r="AB793" s="1383"/>
      <c r="AC793" s="1403"/>
      <c r="AD793" s="1298"/>
      <c r="AE793" s="1298"/>
      <c r="AF793" s="1298"/>
      <c r="AG793" s="138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 customHeight="1">
      <c r="J794" s="1404"/>
      <c r="K794" s="1405"/>
      <c r="L794" s="1405"/>
      <c r="M794" s="1405"/>
      <c r="N794" s="1296"/>
      <c r="O794" s="1404"/>
      <c r="P794" s="1405"/>
      <c r="Q794" s="1405"/>
      <c r="R794" s="1405"/>
      <c r="S794" s="1296"/>
      <c r="T794" s="1404"/>
      <c r="U794" s="1405"/>
      <c r="V794" s="1405"/>
      <c r="W794" s="1296"/>
      <c r="X794" s="1404"/>
      <c r="Y794" s="1405"/>
      <c r="Z794" s="1405"/>
      <c r="AA794" s="1405"/>
      <c r="AB794" s="1296"/>
      <c r="AC794" s="1404"/>
      <c r="AD794" s="1405"/>
      <c r="AE794" s="1405"/>
      <c r="AF794" s="1405"/>
      <c r="AG794" s="12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1575</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1576</v>
      </c>
      <c r="DV794" s="3"/>
      <c r="DW794" s="3"/>
      <c r="DX794" s="3"/>
      <c r="DY794" s="3"/>
      <c r="DZ794" s="3"/>
      <c r="EA794" s="3"/>
      <c r="EB794" s="3"/>
      <c r="EC794" s="3"/>
      <c r="ED794" s="3"/>
      <c r="EE794" s="3"/>
      <c r="EF794" s="3"/>
      <c r="EG794" s="3"/>
      <c r="EH794" s="3"/>
    </row>
    <row r="795" spans="1:154" ht="12.9" customHeight="1">
      <c r="J795" s="1392"/>
      <c r="K795" s="1374"/>
      <c r="L795" s="1374"/>
      <c r="M795" s="1374"/>
      <c r="N795" s="1375"/>
      <c r="O795" s="1420"/>
      <c r="P795" s="1374"/>
      <c r="Q795" s="1374"/>
      <c r="R795" s="1374"/>
      <c r="S795" s="1375"/>
      <c r="T795" s="1406"/>
      <c r="U795" s="1374"/>
      <c r="V795" s="1374"/>
      <c r="W795" s="1375"/>
      <c r="X795" s="1376"/>
      <c r="Y795" s="1374"/>
      <c r="Z795" s="1374"/>
      <c r="AA795" s="1374"/>
      <c r="AB795" s="1375"/>
      <c r="AC795" s="1424">
        <f t="shared" ref="AC795:AC804" si="40">X795*O795</f>
        <v>0</v>
      </c>
      <c r="AD795" s="1263"/>
      <c r="AE795" s="1263"/>
      <c r="AF795" s="1263"/>
      <c r="AG795" s="1264"/>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79">
        <f t="shared" ref="CP795:CP804" si="41">IF(J795="SRO/Studio",O795,0)</f>
        <v>0</v>
      </c>
      <c r="CQ795" s="1263"/>
      <c r="CR795" s="1263"/>
      <c r="CS795" s="1263"/>
      <c r="CT795" s="1264"/>
      <c r="CU795" s="1379">
        <f t="shared" ref="CU795:CU804" si="42">IF(J795="1 Bedroom",O795,0)</f>
        <v>0</v>
      </c>
      <c r="CV795" s="1263"/>
      <c r="CW795" s="1263"/>
      <c r="CX795" s="1263"/>
      <c r="CY795" s="1264"/>
      <c r="CZ795" s="1379">
        <f t="shared" ref="CZ795:CZ804" si="43">IF(J795="2 Bedrooms",O795,0)</f>
        <v>0</v>
      </c>
      <c r="DA795" s="1263"/>
      <c r="DB795" s="1263"/>
      <c r="DC795" s="1263"/>
      <c r="DD795" s="1264"/>
      <c r="DE795" s="1379">
        <f t="shared" ref="DE795:DE804" si="44">IF(J795="3 Bedrooms",O795,0)</f>
        <v>0</v>
      </c>
      <c r="DF795" s="1263"/>
      <c r="DG795" s="1263"/>
      <c r="DH795" s="1263"/>
      <c r="DI795" s="1264"/>
      <c r="DJ795" s="1379">
        <f t="shared" ref="DJ795:DJ804" si="45">IF(J795="4 Bedrooms",O795,0)</f>
        <v>0</v>
      </c>
      <c r="DK795" s="1263"/>
      <c r="DL795" s="1263"/>
      <c r="DM795" s="1263"/>
      <c r="DN795" s="1264"/>
      <c r="DO795" s="1379">
        <f t="shared" ref="DO795:DO804" si="46">IF(J795="5 Bedrooms",O795,0)</f>
        <v>0</v>
      </c>
      <c r="DP795" s="1263"/>
      <c r="DQ795" s="1263"/>
      <c r="DR795" s="1263"/>
      <c r="DS795" s="1264"/>
      <c r="DT795" s="6"/>
      <c r="DU795" s="1379">
        <f t="shared" ref="DU795:DU804" si="47">IF(AND(CP795&gt;=1,AH795&gt;=0.1,AH795&lt;=1),O795,0)</f>
        <v>0</v>
      </c>
      <c r="DV795" s="1263"/>
      <c r="DW795" s="1263"/>
      <c r="DX795" s="1263"/>
      <c r="DY795" s="1264"/>
      <c r="DZ795" s="1379">
        <f t="shared" ref="DZ795:DZ804" si="48">IF(AND(CU795&gt;=1,AH795&gt;=0.1,AH795&lt;=1),O795,0)</f>
        <v>0</v>
      </c>
      <c r="EA795" s="1263"/>
      <c r="EB795" s="1263"/>
      <c r="EC795" s="1263"/>
      <c r="ED795" s="1264"/>
      <c r="EE795" s="1379">
        <f t="shared" ref="EE795:EE804" si="49">IF(AND(CZ795&gt;=1,AH795&gt;=0.1,AH795&lt;=1),O795,0)</f>
        <v>0</v>
      </c>
      <c r="EF795" s="1263"/>
      <c r="EG795" s="1263"/>
      <c r="EH795" s="1263"/>
      <c r="EI795" s="1264"/>
      <c r="EJ795" s="1379">
        <f t="shared" ref="EJ795:EJ804" si="50">IF(AND(DE795&gt;=1,AH795&gt;=0.1,AH795&lt;=1),O795,0)</f>
        <v>0</v>
      </c>
      <c r="EK795" s="1263"/>
      <c r="EL795" s="1263"/>
      <c r="EM795" s="1263"/>
      <c r="EN795" s="1264"/>
      <c r="EO795" s="1379">
        <f t="shared" ref="EO795:EO804" si="51">IF(AND(DJ795&gt;=1,AH795&gt;=0.1,AH795&lt;=1),O795,0)</f>
        <v>0</v>
      </c>
      <c r="EP795" s="1263"/>
      <c r="EQ795" s="1263"/>
      <c r="ER795" s="1263"/>
      <c r="ES795" s="1264"/>
      <c r="ET795" s="1379">
        <f t="shared" ref="ET795:ET804" si="52">IF(AND(DO795&gt;=1,AH795&gt;=0.1,AH795&lt;=1),O795,0)</f>
        <v>0</v>
      </c>
      <c r="EU795" s="1263"/>
      <c r="EV795" s="1263"/>
      <c r="EW795" s="1263"/>
      <c r="EX795" s="1264"/>
    </row>
    <row r="796" spans="1:154" s="14" customFormat="1" ht="12.9" customHeight="1">
      <c r="J796" s="1392"/>
      <c r="K796" s="1374"/>
      <c r="L796" s="1374"/>
      <c r="M796" s="1374"/>
      <c r="N796" s="1375"/>
      <c r="O796" s="1420"/>
      <c r="P796" s="1374"/>
      <c r="Q796" s="1374"/>
      <c r="R796" s="1374"/>
      <c r="S796" s="1375"/>
      <c r="T796" s="1406"/>
      <c r="U796" s="1374"/>
      <c r="V796" s="1374"/>
      <c r="W796" s="1375"/>
      <c r="X796" s="1376"/>
      <c r="Y796" s="1374"/>
      <c r="Z796" s="1374"/>
      <c r="AA796" s="1374"/>
      <c r="AB796" s="1375"/>
      <c r="AC796" s="1424">
        <f t="shared" si="40"/>
        <v>0</v>
      </c>
      <c r="AD796" s="1263"/>
      <c r="AE796" s="1263"/>
      <c r="AF796" s="1263"/>
      <c r="AG796" s="1264"/>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79">
        <f t="shared" si="41"/>
        <v>0</v>
      </c>
      <c r="CQ796" s="1263"/>
      <c r="CR796" s="1263"/>
      <c r="CS796" s="1263"/>
      <c r="CT796" s="1264"/>
      <c r="CU796" s="1379">
        <f t="shared" si="42"/>
        <v>0</v>
      </c>
      <c r="CV796" s="1263"/>
      <c r="CW796" s="1263"/>
      <c r="CX796" s="1263"/>
      <c r="CY796" s="1264"/>
      <c r="CZ796" s="1379">
        <f t="shared" si="43"/>
        <v>0</v>
      </c>
      <c r="DA796" s="1263"/>
      <c r="DB796" s="1263"/>
      <c r="DC796" s="1263"/>
      <c r="DD796" s="1264"/>
      <c r="DE796" s="1379">
        <f t="shared" si="44"/>
        <v>0</v>
      </c>
      <c r="DF796" s="1263"/>
      <c r="DG796" s="1263"/>
      <c r="DH796" s="1263"/>
      <c r="DI796" s="1264"/>
      <c r="DJ796" s="1379">
        <f t="shared" si="45"/>
        <v>0</v>
      </c>
      <c r="DK796" s="1263"/>
      <c r="DL796" s="1263"/>
      <c r="DM796" s="1263"/>
      <c r="DN796" s="1264"/>
      <c r="DO796" s="1379">
        <f t="shared" si="46"/>
        <v>0</v>
      </c>
      <c r="DP796" s="1263"/>
      <c r="DQ796" s="1263"/>
      <c r="DR796" s="1263"/>
      <c r="DS796" s="1264"/>
      <c r="DT796" s="6"/>
      <c r="DU796" s="1379">
        <f t="shared" si="47"/>
        <v>0</v>
      </c>
      <c r="DV796" s="1263"/>
      <c r="DW796" s="1263"/>
      <c r="DX796" s="1263"/>
      <c r="DY796" s="1264"/>
      <c r="DZ796" s="1379">
        <f t="shared" si="48"/>
        <v>0</v>
      </c>
      <c r="EA796" s="1263"/>
      <c r="EB796" s="1263"/>
      <c r="EC796" s="1263"/>
      <c r="ED796" s="1264"/>
      <c r="EE796" s="1379">
        <f t="shared" si="49"/>
        <v>0</v>
      </c>
      <c r="EF796" s="1263"/>
      <c r="EG796" s="1263"/>
      <c r="EH796" s="1263"/>
      <c r="EI796" s="1264"/>
      <c r="EJ796" s="1379">
        <f t="shared" si="50"/>
        <v>0</v>
      </c>
      <c r="EK796" s="1263"/>
      <c r="EL796" s="1263"/>
      <c r="EM796" s="1263"/>
      <c r="EN796" s="1264"/>
      <c r="EO796" s="1379">
        <f t="shared" si="51"/>
        <v>0</v>
      </c>
      <c r="EP796" s="1263"/>
      <c r="EQ796" s="1263"/>
      <c r="ER796" s="1263"/>
      <c r="ES796" s="1264"/>
      <c r="ET796" s="1379">
        <f t="shared" si="52"/>
        <v>0</v>
      </c>
      <c r="EU796" s="1263"/>
      <c r="EV796" s="1263"/>
      <c r="EW796" s="1263"/>
      <c r="EX796" s="1264"/>
    </row>
    <row r="797" spans="1:154" s="14" customFormat="1" ht="12.9" customHeight="1">
      <c r="J797" s="1392"/>
      <c r="K797" s="1374"/>
      <c r="L797" s="1374"/>
      <c r="M797" s="1374"/>
      <c r="N797" s="1375"/>
      <c r="O797" s="1420"/>
      <c r="P797" s="1374"/>
      <c r="Q797" s="1374"/>
      <c r="R797" s="1374"/>
      <c r="S797" s="1375"/>
      <c r="T797" s="1406"/>
      <c r="U797" s="1374"/>
      <c r="V797" s="1374"/>
      <c r="W797" s="1375"/>
      <c r="X797" s="1376"/>
      <c r="Y797" s="1374"/>
      <c r="Z797" s="1374"/>
      <c r="AA797" s="1374"/>
      <c r="AB797" s="1375"/>
      <c r="AC797" s="1424">
        <f t="shared" si="40"/>
        <v>0</v>
      </c>
      <c r="AD797" s="1263"/>
      <c r="AE797" s="1263"/>
      <c r="AF797" s="1263"/>
      <c r="AG797" s="1264"/>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79">
        <f t="shared" si="41"/>
        <v>0</v>
      </c>
      <c r="CQ797" s="1263"/>
      <c r="CR797" s="1263"/>
      <c r="CS797" s="1263"/>
      <c r="CT797" s="1264"/>
      <c r="CU797" s="1379">
        <f t="shared" si="42"/>
        <v>0</v>
      </c>
      <c r="CV797" s="1263"/>
      <c r="CW797" s="1263"/>
      <c r="CX797" s="1263"/>
      <c r="CY797" s="1264"/>
      <c r="CZ797" s="1379">
        <f t="shared" si="43"/>
        <v>0</v>
      </c>
      <c r="DA797" s="1263"/>
      <c r="DB797" s="1263"/>
      <c r="DC797" s="1263"/>
      <c r="DD797" s="1264"/>
      <c r="DE797" s="1379">
        <f t="shared" si="44"/>
        <v>0</v>
      </c>
      <c r="DF797" s="1263"/>
      <c r="DG797" s="1263"/>
      <c r="DH797" s="1263"/>
      <c r="DI797" s="1264"/>
      <c r="DJ797" s="1379">
        <f t="shared" si="45"/>
        <v>0</v>
      </c>
      <c r="DK797" s="1263"/>
      <c r="DL797" s="1263"/>
      <c r="DM797" s="1263"/>
      <c r="DN797" s="1264"/>
      <c r="DO797" s="1379">
        <f t="shared" si="46"/>
        <v>0</v>
      </c>
      <c r="DP797" s="1263"/>
      <c r="DQ797" s="1263"/>
      <c r="DR797" s="1263"/>
      <c r="DS797" s="1264"/>
      <c r="DT797" s="6"/>
      <c r="DU797" s="1379">
        <f t="shared" si="47"/>
        <v>0</v>
      </c>
      <c r="DV797" s="1263"/>
      <c r="DW797" s="1263"/>
      <c r="DX797" s="1263"/>
      <c r="DY797" s="1264"/>
      <c r="DZ797" s="1379">
        <f t="shared" si="48"/>
        <v>0</v>
      </c>
      <c r="EA797" s="1263"/>
      <c r="EB797" s="1263"/>
      <c r="EC797" s="1263"/>
      <c r="ED797" s="1264"/>
      <c r="EE797" s="1379">
        <f t="shared" si="49"/>
        <v>0</v>
      </c>
      <c r="EF797" s="1263"/>
      <c r="EG797" s="1263"/>
      <c r="EH797" s="1263"/>
      <c r="EI797" s="1264"/>
      <c r="EJ797" s="1379">
        <f t="shared" si="50"/>
        <v>0</v>
      </c>
      <c r="EK797" s="1263"/>
      <c r="EL797" s="1263"/>
      <c r="EM797" s="1263"/>
      <c r="EN797" s="1264"/>
      <c r="EO797" s="1379">
        <f t="shared" si="51"/>
        <v>0</v>
      </c>
      <c r="EP797" s="1263"/>
      <c r="EQ797" s="1263"/>
      <c r="ER797" s="1263"/>
      <c r="ES797" s="1264"/>
      <c r="ET797" s="1379">
        <f t="shared" si="52"/>
        <v>0</v>
      </c>
      <c r="EU797" s="1263"/>
      <c r="EV797" s="1263"/>
      <c r="EW797" s="1263"/>
      <c r="EX797" s="1264"/>
    </row>
    <row r="798" spans="1:154" s="14" customFormat="1" ht="12.9" customHeight="1">
      <c r="J798" s="1392"/>
      <c r="K798" s="1374"/>
      <c r="L798" s="1374"/>
      <c r="M798" s="1374"/>
      <c r="N798" s="1375"/>
      <c r="O798" s="1420"/>
      <c r="P798" s="1374"/>
      <c r="Q798" s="1374"/>
      <c r="R798" s="1374"/>
      <c r="S798" s="1375"/>
      <c r="T798" s="1406"/>
      <c r="U798" s="1374"/>
      <c r="V798" s="1374"/>
      <c r="W798" s="1375"/>
      <c r="X798" s="1376"/>
      <c r="Y798" s="1374"/>
      <c r="Z798" s="1374"/>
      <c r="AA798" s="1374"/>
      <c r="AB798" s="1375"/>
      <c r="AC798" s="1424">
        <f t="shared" si="40"/>
        <v>0</v>
      </c>
      <c r="AD798" s="1263"/>
      <c r="AE798" s="1263"/>
      <c r="AF798" s="1263"/>
      <c r="AG798" s="1264"/>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79">
        <f t="shared" si="41"/>
        <v>0</v>
      </c>
      <c r="CQ798" s="1263"/>
      <c r="CR798" s="1263"/>
      <c r="CS798" s="1263"/>
      <c r="CT798" s="1264"/>
      <c r="CU798" s="1379">
        <f t="shared" si="42"/>
        <v>0</v>
      </c>
      <c r="CV798" s="1263"/>
      <c r="CW798" s="1263"/>
      <c r="CX798" s="1263"/>
      <c r="CY798" s="1264"/>
      <c r="CZ798" s="1379">
        <f t="shared" si="43"/>
        <v>0</v>
      </c>
      <c r="DA798" s="1263"/>
      <c r="DB798" s="1263"/>
      <c r="DC798" s="1263"/>
      <c r="DD798" s="1264"/>
      <c r="DE798" s="1379">
        <f t="shared" si="44"/>
        <v>0</v>
      </c>
      <c r="DF798" s="1263"/>
      <c r="DG798" s="1263"/>
      <c r="DH798" s="1263"/>
      <c r="DI798" s="1264"/>
      <c r="DJ798" s="1379">
        <f t="shared" si="45"/>
        <v>0</v>
      </c>
      <c r="DK798" s="1263"/>
      <c r="DL798" s="1263"/>
      <c r="DM798" s="1263"/>
      <c r="DN798" s="1264"/>
      <c r="DO798" s="1379">
        <f t="shared" si="46"/>
        <v>0</v>
      </c>
      <c r="DP798" s="1263"/>
      <c r="DQ798" s="1263"/>
      <c r="DR798" s="1263"/>
      <c r="DS798" s="1264"/>
      <c r="DT798" s="6"/>
      <c r="DU798" s="1379">
        <f t="shared" si="47"/>
        <v>0</v>
      </c>
      <c r="DV798" s="1263"/>
      <c r="DW798" s="1263"/>
      <c r="DX798" s="1263"/>
      <c r="DY798" s="1264"/>
      <c r="DZ798" s="1379">
        <f t="shared" si="48"/>
        <v>0</v>
      </c>
      <c r="EA798" s="1263"/>
      <c r="EB798" s="1263"/>
      <c r="EC798" s="1263"/>
      <c r="ED798" s="1264"/>
      <c r="EE798" s="1379">
        <f t="shared" si="49"/>
        <v>0</v>
      </c>
      <c r="EF798" s="1263"/>
      <c r="EG798" s="1263"/>
      <c r="EH798" s="1263"/>
      <c r="EI798" s="1264"/>
      <c r="EJ798" s="1379">
        <f t="shared" si="50"/>
        <v>0</v>
      </c>
      <c r="EK798" s="1263"/>
      <c r="EL798" s="1263"/>
      <c r="EM798" s="1263"/>
      <c r="EN798" s="1264"/>
      <c r="EO798" s="1379">
        <f t="shared" si="51"/>
        <v>0</v>
      </c>
      <c r="EP798" s="1263"/>
      <c r="EQ798" s="1263"/>
      <c r="ER798" s="1263"/>
      <c r="ES798" s="1264"/>
      <c r="ET798" s="1379">
        <f t="shared" si="52"/>
        <v>0</v>
      </c>
      <c r="EU798" s="1263"/>
      <c r="EV798" s="1263"/>
      <c r="EW798" s="1263"/>
      <c r="EX798" s="1264"/>
    </row>
    <row r="799" spans="1:154" s="14" customFormat="1" ht="12.9" customHeight="1">
      <c r="J799" s="1392"/>
      <c r="K799" s="1374"/>
      <c r="L799" s="1374"/>
      <c r="M799" s="1374"/>
      <c r="N799" s="1375"/>
      <c r="O799" s="1420"/>
      <c r="P799" s="1374"/>
      <c r="Q799" s="1374"/>
      <c r="R799" s="1374"/>
      <c r="S799" s="1375"/>
      <c r="T799" s="1406"/>
      <c r="U799" s="1374"/>
      <c r="V799" s="1374"/>
      <c r="W799" s="1375"/>
      <c r="X799" s="1376"/>
      <c r="Y799" s="1374"/>
      <c r="Z799" s="1374"/>
      <c r="AA799" s="1374"/>
      <c r="AB799" s="1375"/>
      <c r="AC799" s="1424">
        <f t="shared" si="40"/>
        <v>0</v>
      </c>
      <c r="AD799" s="1263"/>
      <c r="AE799" s="1263"/>
      <c r="AF799" s="1263"/>
      <c r="AG799" s="1264"/>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79">
        <f t="shared" si="41"/>
        <v>0</v>
      </c>
      <c r="CQ799" s="1263"/>
      <c r="CR799" s="1263"/>
      <c r="CS799" s="1263"/>
      <c r="CT799" s="1264"/>
      <c r="CU799" s="1379">
        <f t="shared" si="42"/>
        <v>0</v>
      </c>
      <c r="CV799" s="1263"/>
      <c r="CW799" s="1263"/>
      <c r="CX799" s="1263"/>
      <c r="CY799" s="1264"/>
      <c r="CZ799" s="1379">
        <f t="shared" si="43"/>
        <v>0</v>
      </c>
      <c r="DA799" s="1263"/>
      <c r="DB799" s="1263"/>
      <c r="DC799" s="1263"/>
      <c r="DD799" s="1264"/>
      <c r="DE799" s="1379">
        <f t="shared" si="44"/>
        <v>0</v>
      </c>
      <c r="DF799" s="1263"/>
      <c r="DG799" s="1263"/>
      <c r="DH799" s="1263"/>
      <c r="DI799" s="1264"/>
      <c r="DJ799" s="1379">
        <f t="shared" si="45"/>
        <v>0</v>
      </c>
      <c r="DK799" s="1263"/>
      <c r="DL799" s="1263"/>
      <c r="DM799" s="1263"/>
      <c r="DN799" s="1264"/>
      <c r="DO799" s="1379">
        <f t="shared" si="46"/>
        <v>0</v>
      </c>
      <c r="DP799" s="1263"/>
      <c r="DQ799" s="1263"/>
      <c r="DR799" s="1263"/>
      <c r="DS799" s="1264"/>
      <c r="DT799" s="6"/>
      <c r="DU799" s="1379">
        <f t="shared" si="47"/>
        <v>0</v>
      </c>
      <c r="DV799" s="1263"/>
      <c r="DW799" s="1263"/>
      <c r="DX799" s="1263"/>
      <c r="DY799" s="1264"/>
      <c r="DZ799" s="1379">
        <f t="shared" si="48"/>
        <v>0</v>
      </c>
      <c r="EA799" s="1263"/>
      <c r="EB799" s="1263"/>
      <c r="EC799" s="1263"/>
      <c r="ED799" s="1264"/>
      <c r="EE799" s="1379">
        <f t="shared" si="49"/>
        <v>0</v>
      </c>
      <c r="EF799" s="1263"/>
      <c r="EG799" s="1263"/>
      <c r="EH799" s="1263"/>
      <c r="EI799" s="1264"/>
      <c r="EJ799" s="1379">
        <f t="shared" si="50"/>
        <v>0</v>
      </c>
      <c r="EK799" s="1263"/>
      <c r="EL799" s="1263"/>
      <c r="EM799" s="1263"/>
      <c r="EN799" s="1264"/>
      <c r="EO799" s="1379">
        <f t="shared" si="51"/>
        <v>0</v>
      </c>
      <c r="EP799" s="1263"/>
      <c r="EQ799" s="1263"/>
      <c r="ER799" s="1263"/>
      <c r="ES799" s="1264"/>
      <c r="ET799" s="1379">
        <f t="shared" si="52"/>
        <v>0</v>
      </c>
      <c r="EU799" s="1263"/>
      <c r="EV799" s="1263"/>
      <c r="EW799" s="1263"/>
      <c r="EX799" s="1264"/>
    </row>
    <row r="800" spans="1:154" s="14" customFormat="1" ht="12.9" customHeight="1">
      <c r="J800" s="1392"/>
      <c r="K800" s="1374"/>
      <c r="L800" s="1374"/>
      <c r="M800" s="1374"/>
      <c r="N800" s="1375"/>
      <c r="O800" s="1420"/>
      <c r="P800" s="1374"/>
      <c r="Q800" s="1374"/>
      <c r="R800" s="1374"/>
      <c r="S800" s="1375"/>
      <c r="T800" s="1406"/>
      <c r="U800" s="1374"/>
      <c r="V800" s="1374"/>
      <c r="W800" s="1375"/>
      <c r="X800" s="1376"/>
      <c r="Y800" s="1374"/>
      <c r="Z800" s="1374"/>
      <c r="AA800" s="1374"/>
      <c r="AB800" s="1375"/>
      <c r="AC800" s="1424">
        <f t="shared" si="40"/>
        <v>0</v>
      </c>
      <c r="AD800" s="1263"/>
      <c r="AE800" s="1263"/>
      <c r="AF800" s="1263"/>
      <c r="AG800" s="1264"/>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79">
        <f t="shared" si="41"/>
        <v>0</v>
      </c>
      <c r="CQ800" s="1263"/>
      <c r="CR800" s="1263"/>
      <c r="CS800" s="1263"/>
      <c r="CT800" s="1264"/>
      <c r="CU800" s="1379">
        <f t="shared" si="42"/>
        <v>0</v>
      </c>
      <c r="CV800" s="1263"/>
      <c r="CW800" s="1263"/>
      <c r="CX800" s="1263"/>
      <c r="CY800" s="1264"/>
      <c r="CZ800" s="1379">
        <f t="shared" si="43"/>
        <v>0</v>
      </c>
      <c r="DA800" s="1263"/>
      <c r="DB800" s="1263"/>
      <c r="DC800" s="1263"/>
      <c r="DD800" s="1264"/>
      <c r="DE800" s="1379">
        <f t="shared" si="44"/>
        <v>0</v>
      </c>
      <c r="DF800" s="1263"/>
      <c r="DG800" s="1263"/>
      <c r="DH800" s="1263"/>
      <c r="DI800" s="1264"/>
      <c r="DJ800" s="1379">
        <f t="shared" si="45"/>
        <v>0</v>
      </c>
      <c r="DK800" s="1263"/>
      <c r="DL800" s="1263"/>
      <c r="DM800" s="1263"/>
      <c r="DN800" s="1264"/>
      <c r="DO800" s="1379">
        <f t="shared" si="46"/>
        <v>0</v>
      </c>
      <c r="DP800" s="1263"/>
      <c r="DQ800" s="1263"/>
      <c r="DR800" s="1263"/>
      <c r="DS800" s="1264"/>
      <c r="DT800" s="6"/>
      <c r="DU800" s="1379">
        <f t="shared" si="47"/>
        <v>0</v>
      </c>
      <c r="DV800" s="1263"/>
      <c r="DW800" s="1263"/>
      <c r="DX800" s="1263"/>
      <c r="DY800" s="1264"/>
      <c r="DZ800" s="1379">
        <f t="shared" si="48"/>
        <v>0</v>
      </c>
      <c r="EA800" s="1263"/>
      <c r="EB800" s="1263"/>
      <c r="EC800" s="1263"/>
      <c r="ED800" s="1264"/>
      <c r="EE800" s="1379">
        <f t="shared" si="49"/>
        <v>0</v>
      </c>
      <c r="EF800" s="1263"/>
      <c r="EG800" s="1263"/>
      <c r="EH800" s="1263"/>
      <c r="EI800" s="1264"/>
      <c r="EJ800" s="1379">
        <f t="shared" si="50"/>
        <v>0</v>
      </c>
      <c r="EK800" s="1263"/>
      <c r="EL800" s="1263"/>
      <c r="EM800" s="1263"/>
      <c r="EN800" s="1264"/>
      <c r="EO800" s="1379">
        <f t="shared" si="51"/>
        <v>0</v>
      </c>
      <c r="EP800" s="1263"/>
      <c r="EQ800" s="1263"/>
      <c r="ER800" s="1263"/>
      <c r="ES800" s="1264"/>
      <c r="ET800" s="1379">
        <f t="shared" si="52"/>
        <v>0</v>
      </c>
      <c r="EU800" s="1263"/>
      <c r="EV800" s="1263"/>
      <c r="EW800" s="1263"/>
      <c r="EX800" s="1264"/>
    </row>
    <row r="801" spans="1:154" s="14" customFormat="1" ht="12.9" customHeight="1">
      <c r="J801" s="1392"/>
      <c r="K801" s="1374"/>
      <c r="L801" s="1374"/>
      <c r="M801" s="1374"/>
      <c r="N801" s="1375"/>
      <c r="O801" s="1420"/>
      <c r="P801" s="1374"/>
      <c r="Q801" s="1374"/>
      <c r="R801" s="1374"/>
      <c r="S801" s="1375"/>
      <c r="T801" s="1406"/>
      <c r="U801" s="1374"/>
      <c r="V801" s="1374"/>
      <c r="W801" s="1375"/>
      <c r="X801" s="1376"/>
      <c r="Y801" s="1374"/>
      <c r="Z801" s="1374"/>
      <c r="AA801" s="1374"/>
      <c r="AB801" s="1375"/>
      <c r="AC801" s="1424">
        <f t="shared" si="40"/>
        <v>0</v>
      </c>
      <c r="AD801" s="1263"/>
      <c r="AE801" s="1263"/>
      <c r="AF801" s="1263"/>
      <c r="AG801" s="1264"/>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79">
        <f t="shared" si="41"/>
        <v>0</v>
      </c>
      <c r="CQ801" s="1263"/>
      <c r="CR801" s="1263"/>
      <c r="CS801" s="1263"/>
      <c r="CT801" s="1264"/>
      <c r="CU801" s="1379">
        <f t="shared" si="42"/>
        <v>0</v>
      </c>
      <c r="CV801" s="1263"/>
      <c r="CW801" s="1263"/>
      <c r="CX801" s="1263"/>
      <c r="CY801" s="1264"/>
      <c r="CZ801" s="1379">
        <f t="shared" si="43"/>
        <v>0</v>
      </c>
      <c r="DA801" s="1263"/>
      <c r="DB801" s="1263"/>
      <c r="DC801" s="1263"/>
      <c r="DD801" s="1264"/>
      <c r="DE801" s="1379">
        <f t="shared" si="44"/>
        <v>0</v>
      </c>
      <c r="DF801" s="1263"/>
      <c r="DG801" s="1263"/>
      <c r="DH801" s="1263"/>
      <c r="DI801" s="1264"/>
      <c r="DJ801" s="1379">
        <f t="shared" si="45"/>
        <v>0</v>
      </c>
      <c r="DK801" s="1263"/>
      <c r="DL801" s="1263"/>
      <c r="DM801" s="1263"/>
      <c r="DN801" s="1264"/>
      <c r="DO801" s="1379">
        <f t="shared" si="46"/>
        <v>0</v>
      </c>
      <c r="DP801" s="1263"/>
      <c r="DQ801" s="1263"/>
      <c r="DR801" s="1263"/>
      <c r="DS801" s="1264"/>
      <c r="DT801" s="6"/>
      <c r="DU801" s="1379">
        <f t="shared" si="47"/>
        <v>0</v>
      </c>
      <c r="DV801" s="1263"/>
      <c r="DW801" s="1263"/>
      <c r="DX801" s="1263"/>
      <c r="DY801" s="1264"/>
      <c r="DZ801" s="1379">
        <f t="shared" si="48"/>
        <v>0</v>
      </c>
      <c r="EA801" s="1263"/>
      <c r="EB801" s="1263"/>
      <c r="EC801" s="1263"/>
      <c r="ED801" s="1264"/>
      <c r="EE801" s="1379">
        <f t="shared" si="49"/>
        <v>0</v>
      </c>
      <c r="EF801" s="1263"/>
      <c r="EG801" s="1263"/>
      <c r="EH801" s="1263"/>
      <c r="EI801" s="1264"/>
      <c r="EJ801" s="1379">
        <f t="shared" si="50"/>
        <v>0</v>
      </c>
      <c r="EK801" s="1263"/>
      <c r="EL801" s="1263"/>
      <c r="EM801" s="1263"/>
      <c r="EN801" s="1264"/>
      <c r="EO801" s="1379">
        <f t="shared" si="51"/>
        <v>0</v>
      </c>
      <c r="EP801" s="1263"/>
      <c r="EQ801" s="1263"/>
      <c r="ER801" s="1263"/>
      <c r="ES801" s="1264"/>
      <c r="ET801" s="1379">
        <f t="shared" si="52"/>
        <v>0</v>
      </c>
      <c r="EU801" s="1263"/>
      <c r="EV801" s="1263"/>
      <c r="EW801" s="1263"/>
      <c r="EX801" s="1264"/>
    </row>
    <row r="802" spans="1:154" s="14" customFormat="1" ht="12.9" customHeight="1">
      <c r="J802" s="1392"/>
      <c r="K802" s="1374"/>
      <c r="L802" s="1374"/>
      <c r="M802" s="1374"/>
      <c r="N802" s="1375"/>
      <c r="O802" s="1420"/>
      <c r="P802" s="1374"/>
      <c r="Q802" s="1374"/>
      <c r="R802" s="1374"/>
      <c r="S802" s="1375"/>
      <c r="T802" s="1406"/>
      <c r="U802" s="1374"/>
      <c r="V802" s="1374"/>
      <c r="W802" s="1375"/>
      <c r="X802" s="1376"/>
      <c r="Y802" s="1374"/>
      <c r="Z802" s="1374"/>
      <c r="AA802" s="1374"/>
      <c r="AB802" s="1375"/>
      <c r="AC802" s="1424">
        <f t="shared" si="40"/>
        <v>0</v>
      </c>
      <c r="AD802" s="1263"/>
      <c r="AE802" s="1263"/>
      <c r="AF802" s="1263"/>
      <c r="AG802" s="1264"/>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79">
        <f t="shared" si="41"/>
        <v>0</v>
      </c>
      <c r="CQ802" s="1263"/>
      <c r="CR802" s="1263"/>
      <c r="CS802" s="1263"/>
      <c r="CT802" s="1264"/>
      <c r="CU802" s="1379">
        <f t="shared" si="42"/>
        <v>0</v>
      </c>
      <c r="CV802" s="1263"/>
      <c r="CW802" s="1263"/>
      <c r="CX802" s="1263"/>
      <c r="CY802" s="1264"/>
      <c r="CZ802" s="1379">
        <f t="shared" si="43"/>
        <v>0</v>
      </c>
      <c r="DA802" s="1263"/>
      <c r="DB802" s="1263"/>
      <c r="DC802" s="1263"/>
      <c r="DD802" s="1264"/>
      <c r="DE802" s="1379">
        <f t="shared" si="44"/>
        <v>0</v>
      </c>
      <c r="DF802" s="1263"/>
      <c r="DG802" s="1263"/>
      <c r="DH802" s="1263"/>
      <c r="DI802" s="1264"/>
      <c r="DJ802" s="1379">
        <f t="shared" si="45"/>
        <v>0</v>
      </c>
      <c r="DK802" s="1263"/>
      <c r="DL802" s="1263"/>
      <c r="DM802" s="1263"/>
      <c r="DN802" s="1264"/>
      <c r="DO802" s="1379">
        <f t="shared" si="46"/>
        <v>0</v>
      </c>
      <c r="DP802" s="1263"/>
      <c r="DQ802" s="1263"/>
      <c r="DR802" s="1263"/>
      <c r="DS802" s="1264"/>
      <c r="DT802" s="6"/>
      <c r="DU802" s="1379">
        <f t="shared" si="47"/>
        <v>0</v>
      </c>
      <c r="DV802" s="1263"/>
      <c r="DW802" s="1263"/>
      <c r="DX802" s="1263"/>
      <c r="DY802" s="1264"/>
      <c r="DZ802" s="1379">
        <f t="shared" si="48"/>
        <v>0</v>
      </c>
      <c r="EA802" s="1263"/>
      <c r="EB802" s="1263"/>
      <c r="EC802" s="1263"/>
      <c r="ED802" s="1264"/>
      <c r="EE802" s="1379">
        <f t="shared" si="49"/>
        <v>0</v>
      </c>
      <c r="EF802" s="1263"/>
      <c r="EG802" s="1263"/>
      <c r="EH802" s="1263"/>
      <c r="EI802" s="1264"/>
      <c r="EJ802" s="1379">
        <f t="shared" si="50"/>
        <v>0</v>
      </c>
      <c r="EK802" s="1263"/>
      <c r="EL802" s="1263"/>
      <c r="EM802" s="1263"/>
      <c r="EN802" s="1264"/>
      <c r="EO802" s="1379">
        <f t="shared" si="51"/>
        <v>0</v>
      </c>
      <c r="EP802" s="1263"/>
      <c r="EQ802" s="1263"/>
      <c r="ER802" s="1263"/>
      <c r="ES802" s="1264"/>
      <c r="ET802" s="1379">
        <f t="shared" si="52"/>
        <v>0</v>
      </c>
      <c r="EU802" s="1263"/>
      <c r="EV802" s="1263"/>
      <c r="EW802" s="1263"/>
      <c r="EX802" s="1264"/>
    </row>
    <row r="803" spans="1:154" s="14" customFormat="1" ht="12.9" customHeight="1">
      <c r="J803" s="1392"/>
      <c r="K803" s="1374"/>
      <c r="L803" s="1374"/>
      <c r="M803" s="1374"/>
      <c r="N803" s="1375"/>
      <c r="O803" s="1420"/>
      <c r="P803" s="1374"/>
      <c r="Q803" s="1374"/>
      <c r="R803" s="1374"/>
      <c r="S803" s="1375"/>
      <c r="T803" s="1406"/>
      <c r="U803" s="1374"/>
      <c r="V803" s="1374"/>
      <c r="W803" s="1375"/>
      <c r="X803" s="1376"/>
      <c r="Y803" s="1374"/>
      <c r="Z803" s="1374"/>
      <c r="AA803" s="1374"/>
      <c r="AB803" s="1375"/>
      <c r="AC803" s="1424">
        <f t="shared" si="40"/>
        <v>0</v>
      </c>
      <c r="AD803" s="1263"/>
      <c r="AE803" s="1263"/>
      <c r="AF803" s="1263"/>
      <c r="AG803" s="1264"/>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79">
        <f t="shared" si="41"/>
        <v>0</v>
      </c>
      <c r="CQ803" s="1263"/>
      <c r="CR803" s="1263"/>
      <c r="CS803" s="1263"/>
      <c r="CT803" s="1264"/>
      <c r="CU803" s="1379">
        <f t="shared" si="42"/>
        <v>0</v>
      </c>
      <c r="CV803" s="1263"/>
      <c r="CW803" s="1263"/>
      <c r="CX803" s="1263"/>
      <c r="CY803" s="1264"/>
      <c r="CZ803" s="1379">
        <f t="shared" si="43"/>
        <v>0</v>
      </c>
      <c r="DA803" s="1263"/>
      <c r="DB803" s="1263"/>
      <c r="DC803" s="1263"/>
      <c r="DD803" s="1264"/>
      <c r="DE803" s="1379">
        <f t="shared" si="44"/>
        <v>0</v>
      </c>
      <c r="DF803" s="1263"/>
      <c r="DG803" s="1263"/>
      <c r="DH803" s="1263"/>
      <c r="DI803" s="1264"/>
      <c r="DJ803" s="1379">
        <f t="shared" si="45"/>
        <v>0</v>
      </c>
      <c r="DK803" s="1263"/>
      <c r="DL803" s="1263"/>
      <c r="DM803" s="1263"/>
      <c r="DN803" s="1264"/>
      <c r="DO803" s="1379">
        <f t="shared" si="46"/>
        <v>0</v>
      </c>
      <c r="DP803" s="1263"/>
      <c r="DQ803" s="1263"/>
      <c r="DR803" s="1263"/>
      <c r="DS803" s="1264"/>
      <c r="DT803" s="6"/>
      <c r="DU803" s="1379">
        <f t="shared" si="47"/>
        <v>0</v>
      </c>
      <c r="DV803" s="1263"/>
      <c r="DW803" s="1263"/>
      <c r="DX803" s="1263"/>
      <c r="DY803" s="1264"/>
      <c r="DZ803" s="1379">
        <f t="shared" si="48"/>
        <v>0</v>
      </c>
      <c r="EA803" s="1263"/>
      <c r="EB803" s="1263"/>
      <c r="EC803" s="1263"/>
      <c r="ED803" s="1264"/>
      <c r="EE803" s="1379">
        <f t="shared" si="49"/>
        <v>0</v>
      </c>
      <c r="EF803" s="1263"/>
      <c r="EG803" s="1263"/>
      <c r="EH803" s="1263"/>
      <c r="EI803" s="1264"/>
      <c r="EJ803" s="1379">
        <f t="shared" si="50"/>
        <v>0</v>
      </c>
      <c r="EK803" s="1263"/>
      <c r="EL803" s="1263"/>
      <c r="EM803" s="1263"/>
      <c r="EN803" s="1264"/>
      <c r="EO803" s="1379">
        <f t="shared" si="51"/>
        <v>0</v>
      </c>
      <c r="EP803" s="1263"/>
      <c r="EQ803" s="1263"/>
      <c r="ER803" s="1263"/>
      <c r="ES803" s="1264"/>
      <c r="ET803" s="1379">
        <f t="shared" si="52"/>
        <v>0</v>
      </c>
      <c r="EU803" s="1263"/>
      <c r="EV803" s="1263"/>
      <c r="EW803" s="1263"/>
      <c r="EX803" s="1264"/>
    </row>
    <row r="804" spans="1:154" s="4" customFormat="1" ht="12.9" customHeight="1">
      <c r="J804" s="1392"/>
      <c r="K804" s="1374"/>
      <c r="L804" s="1374"/>
      <c r="M804" s="1374"/>
      <c r="N804" s="1375"/>
      <c r="O804" s="1420"/>
      <c r="P804" s="1374"/>
      <c r="Q804" s="1374"/>
      <c r="R804" s="1374"/>
      <c r="S804" s="1375"/>
      <c r="T804" s="1406"/>
      <c r="U804" s="1374"/>
      <c r="V804" s="1374"/>
      <c r="W804" s="1375"/>
      <c r="X804" s="1376"/>
      <c r="Y804" s="1374"/>
      <c r="Z804" s="1374"/>
      <c r="AA804" s="1374"/>
      <c r="AB804" s="1375"/>
      <c r="AC804" s="1424">
        <f t="shared" si="40"/>
        <v>0</v>
      </c>
      <c r="AD804" s="1263"/>
      <c r="AE804" s="1263"/>
      <c r="AF804" s="1263"/>
      <c r="AG804" s="1264"/>
      <c r="AZ804" s="3"/>
      <c r="CP804" s="1379">
        <f t="shared" si="41"/>
        <v>0</v>
      </c>
      <c r="CQ804" s="1263"/>
      <c r="CR804" s="1263"/>
      <c r="CS804" s="1263"/>
      <c r="CT804" s="1264"/>
      <c r="CU804" s="1379">
        <f t="shared" si="42"/>
        <v>0</v>
      </c>
      <c r="CV804" s="1263"/>
      <c r="CW804" s="1263"/>
      <c r="CX804" s="1263"/>
      <c r="CY804" s="1264"/>
      <c r="CZ804" s="1379">
        <f t="shared" si="43"/>
        <v>0</v>
      </c>
      <c r="DA804" s="1263"/>
      <c r="DB804" s="1263"/>
      <c r="DC804" s="1263"/>
      <c r="DD804" s="1264"/>
      <c r="DE804" s="1379">
        <f t="shared" si="44"/>
        <v>0</v>
      </c>
      <c r="DF804" s="1263"/>
      <c r="DG804" s="1263"/>
      <c r="DH804" s="1263"/>
      <c r="DI804" s="1264"/>
      <c r="DJ804" s="1379">
        <f t="shared" si="45"/>
        <v>0</v>
      </c>
      <c r="DK804" s="1263"/>
      <c r="DL804" s="1263"/>
      <c r="DM804" s="1263"/>
      <c r="DN804" s="1264"/>
      <c r="DO804" s="1379">
        <f t="shared" si="46"/>
        <v>0</v>
      </c>
      <c r="DP804" s="1263"/>
      <c r="DQ804" s="1263"/>
      <c r="DR804" s="1263"/>
      <c r="DS804" s="1264"/>
      <c r="DT804" s="6"/>
      <c r="DU804" s="1379">
        <f t="shared" si="47"/>
        <v>0</v>
      </c>
      <c r="DV804" s="1263"/>
      <c r="DW804" s="1263"/>
      <c r="DX804" s="1263"/>
      <c r="DY804" s="1264"/>
      <c r="DZ804" s="1379">
        <f t="shared" si="48"/>
        <v>0</v>
      </c>
      <c r="EA804" s="1263"/>
      <c r="EB804" s="1263"/>
      <c r="EC804" s="1263"/>
      <c r="ED804" s="1264"/>
      <c r="EE804" s="1379">
        <f t="shared" si="49"/>
        <v>0</v>
      </c>
      <c r="EF804" s="1263"/>
      <c r="EG804" s="1263"/>
      <c r="EH804" s="1263"/>
      <c r="EI804" s="1264"/>
      <c r="EJ804" s="1379">
        <f t="shared" si="50"/>
        <v>0</v>
      </c>
      <c r="EK804" s="1263"/>
      <c r="EL804" s="1263"/>
      <c r="EM804" s="1263"/>
      <c r="EN804" s="1264"/>
      <c r="EO804" s="1379">
        <f t="shared" si="51"/>
        <v>0</v>
      </c>
      <c r="EP804" s="1263"/>
      <c r="EQ804" s="1263"/>
      <c r="ER804" s="1263"/>
      <c r="ES804" s="1264"/>
      <c r="ET804" s="1379">
        <f t="shared" si="52"/>
        <v>0</v>
      </c>
      <c r="EU804" s="1263"/>
      <c r="EV804" s="1263"/>
      <c r="EW804" s="1263"/>
      <c r="EX804" s="1264"/>
    </row>
    <row r="805" spans="1:154" s="4" customFormat="1" ht="12.9" customHeight="1">
      <c r="J805" s="1498" t="s">
        <v>1554</v>
      </c>
      <c r="K805" s="1263"/>
      <c r="L805" s="1263"/>
      <c r="M805" s="1263"/>
      <c r="N805" s="1264"/>
      <c r="O805" s="1381">
        <f>SUM(O795:S804)</f>
        <v>0</v>
      </c>
      <c r="P805" s="1263"/>
      <c r="Q805" s="1263"/>
      <c r="R805" s="1263"/>
      <c r="S805" s="1264"/>
      <c r="X805" s="898" t="s">
        <v>1555</v>
      </c>
      <c r="Y805" s="11"/>
      <c r="Z805" s="11"/>
      <c r="AA805" s="11"/>
      <c r="AB805" s="905"/>
      <c r="AC805" s="1424">
        <f>SUM(AC795:AG804)</f>
        <v>0</v>
      </c>
      <c r="AD805" s="1263"/>
      <c r="AE805" s="1263"/>
      <c r="AF805" s="1263"/>
      <c r="AG805" s="1264"/>
      <c r="AZ805" s="3"/>
      <c r="CP805" s="1381">
        <f>SUM(CP795:CT804)</f>
        <v>0</v>
      </c>
      <c r="CQ805" s="1263"/>
      <c r="CR805" s="1263"/>
      <c r="CS805" s="1263"/>
      <c r="CT805" s="1264"/>
      <c r="CU805" s="1395">
        <f>SUM(CU795:CY804)</f>
        <v>0</v>
      </c>
      <c r="CV805" s="1263"/>
      <c r="CW805" s="1263"/>
      <c r="CX805" s="1263"/>
      <c r="CY805" s="1264"/>
      <c r="CZ805" s="1395">
        <f>SUM(CZ795:DD804)</f>
        <v>0</v>
      </c>
      <c r="DA805" s="1263"/>
      <c r="DB805" s="1263"/>
      <c r="DC805" s="1263"/>
      <c r="DD805" s="1264"/>
      <c r="DE805" s="1395">
        <f>SUM(DE795:DI804)</f>
        <v>0</v>
      </c>
      <c r="DF805" s="1263"/>
      <c r="DG805" s="1263"/>
      <c r="DH805" s="1263"/>
      <c r="DI805" s="1264"/>
      <c r="DJ805" s="1395">
        <f>SUM(DJ795:DN804)</f>
        <v>0</v>
      </c>
      <c r="DK805" s="1263"/>
      <c r="DL805" s="1263"/>
      <c r="DM805" s="1263"/>
      <c r="DN805" s="1264"/>
      <c r="DO805" s="1395">
        <f>SUM(DO795:DS804)</f>
        <v>0</v>
      </c>
      <c r="DP805" s="1263"/>
      <c r="DQ805" s="1263"/>
      <c r="DR805" s="1263"/>
      <c r="DS805" s="1264"/>
      <c r="DT805" s="1007"/>
      <c r="DU805" s="1381">
        <f>SUM(DU795:DY804)</f>
        <v>0</v>
      </c>
      <c r="DV805" s="1263"/>
      <c r="DW805" s="1263"/>
      <c r="DX805" s="1263"/>
      <c r="DY805" s="1264"/>
      <c r="DZ805" s="1381">
        <f>SUM(DZ795:ED804)</f>
        <v>0</v>
      </c>
      <c r="EA805" s="1263"/>
      <c r="EB805" s="1263"/>
      <c r="EC805" s="1263"/>
      <c r="ED805" s="1264"/>
      <c r="EE805" s="1381">
        <f>SUM(EE795:EI804)</f>
        <v>0</v>
      </c>
      <c r="EF805" s="1263"/>
      <c r="EG805" s="1263"/>
      <c r="EH805" s="1263"/>
      <c r="EI805" s="1264"/>
      <c r="EJ805" s="1381">
        <f>SUM(EJ795:EN804)</f>
        <v>0</v>
      </c>
      <c r="EK805" s="1263"/>
      <c r="EL805" s="1263"/>
      <c r="EM805" s="1263"/>
      <c r="EN805" s="1264"/>
      <c r="EO805" s="1381">
        <f>SUM(EO795:ES804)</f>
        <v>0</v>
      </c>
      <c r="EP805" s="1263"/>
      <c r="EQ805" s="1263"/>
      <c r="ER805" s="1263"/>
      <c r="ES805" s="1264"/>
      <c r="ET805" s="1381">
        <f>SUM(ET795:EX804)</f>
        <v>0</v>
      </c>
      <c r="EU805" s="1263"/>
      <c r="EV805" s="1263"/>
      <c r="EW805" s="1263"/>
      <c r="EX805" s="1264"/>
    </row>
    <row r="806" spans="1:154" s="4" customFormat="1" ht="12.9" customHeight="1">
      <c r="C806" s="1489" t="str">
        <f>IF(O805&lt;&gt;AG447,"! Total market rate units in the Unit Mix Table above does not match the number of  market rate units on row #"&amp;TEXT(ROW(D447),"#"),"")</f>
        <v/>
      </c>
      <c r="D806" s="1490"/>
      <c r="E806" s="1490"/>
      <c r="F806" s="1490"/>
      <c r="G806" s="1490"/>
      <c r="H806" s="1490"/>
      <c r="I806" s="1490"/>
      <c r="J806" s="1490"/>
      <c r="K806" s="1490"/>
      <c r="L806" s="1490"/>
      <c r="M806" s="1490"/>
      <c r="N806" s="1490"/>
      <c r="O806" s="1490"/>
      <c r="P806" s="1490"/>
      <c r="Q806" s="1490"/>
      <c r="R806" s="1490"/>
      <c r="S806" s="1490"/>
      <c r="T806" s="1490"/>
      <c r="U806" s="1490"/>
      <c r="V806" s="1490"/>
      <c r="W806" s="1490"/>
      <c r="X806" s="1490"/>
      <c r="Y806" s="1490"/>
      <c r="Z806" s="1490"/>
      <c r="AA806" s="1490"/>
      <c r="AB806" s="1490"/>
      <c r="AC806" s="1490"/>
      <c r="AD806" s="1490"/>
      <c r="AE806" s="1490"/>
      <c r="AF806" s="1490"/>
      <c r="AG806" s="1490"/>
      <c r="AH806" s="1490"/>
      <c r="AI806" s="1490"/>
      <c r="AJ806" s="1490"/>
      <c r="AK806" s="1490"/>
      <c r="AL806" s="1490"/>
      <c r="AM806" s="1490"/>
      <c r="AN806" s="1490"/>
      <c r="AZ806" s="30"/>
      <c r="BA806" s="30"/>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 customHeight="1">
      <c r="C807" s="1490"/>
      <c r="D807" s="1490"/>
      <c r="E807" s="1490"/>
      <c r="F807" s="1490"/>
      <c r="G807" s="1490"/>
      <c r="H807" s="1490"/>
      <c r="I807" s="1490"/>
      <c r="J807" s="1490"/>
      <c r="K807" s="1490"/>
      <c r="L807" s="1490"/>
      <c r="M807" s="1490"/>
      <c r="N807" s="1490"/>
      <c r="O807" s="1490"/>
      <c r="P807" s="1490"/>
      <c r="Q807" s="1490"/>
      <c r="R807" s="1490"/>
      <c r="S807" s="1490"/>
      <c r="T807" s="1490"/>
      <c r="U807" s="1490"/>
      <c r="V807" s="1490"/>
      <c r="W807" s="1490"/>
      <c r="X807" s="1490"/>
      <c r="Y807" s="1490"/>
      <c r="Z807" s="1490"/>
      <c r="AA807" s="1490"/>
      <c r="AB807" s="1490"/>
      <c r="AC807" s="1490"/>
      <c r="AD807" s="1490"/>
      <c r="AE807" s="1490"/>
      <c r="AF807" s="1490"/>
      <c r="AG807" s="1490"/>
      <c r="AH807" s="1490"/>
      <c r="AI807" s="1490"/>
      <c r="AJ807" s="1490"/>
      <c r="AK807" s="1490"/>
      <c r="AL807" s="1490"/>
      <c r="AM807" s="1490"/>
      <c r="AN807" s="1490"/>
      <c r="AZ807" s="30"/>
      <c r="BA807" s="30"/>
      <c r="DT807" s="3"/>
      <c r="DU807" s="857">
        <f>CP805+CU805+CZ805+DE805+DJ805+DO805</f>
        <v>0</v>
      </c>
      <c r="DV807" s="57" t="s">
        <v>1577</v>
      </c>
      <c r="DW807" s="3"/>
      <c r="DX807" s="3"/>
      <c r="DY807" s="3"/>
      <c r="DZ807" s="3"/>
      <c r="EA807" s="3"/>
      <c r="EB807" s="3"/>
      <c r="EC807" s="3"/>
      <c r="ED807" s="3"/>
      <c r="EE807" s="3"/>
      <c r="EF807" s="3"/>
      <c r="EG807" s="3"/>
      <c r="EH807" s="3"/>
      <c r="ES807" s="56" t="s">
        <v>1578</v>
      </c>
      <c r="ET807" s="1380">
        <f>SUM(DU805:EX805)</f>
        <v>0</v>
      </c>
      <c r="EU807" s="1263"/>
      <c r="EV807" s="1263"/>
      <c r="EW807" s="1263"/>
      <c r="EX807" s="1264"/>
    </row>
    <row r="808" spans="1:154" s="4" customFormat="1" ht="12.9" customHeight="1">
      <c r="J808" s="45"/>
      <c r="K808" s="5"/>
      <c r="L808" s="5"/>
      <c r="M808" s="5"/>
      <c r="N808" s="5"/>
      <c r="O808" s="5"/>
      <c r="P808" s="5"/>
      <c r="Q808" s="5"/>
      <c r="R808" s="5"/>
      <c r="S808" s="5"/>
      <c r="T808" s="5"/>
      <c r="U808" s="5"/>
      <c r="V808" s="5"/>
      <c r="W808" s="5"/>
      <c r="X808" s="54" t="s">
        <v>1579</v>
      </c>
      <c r="Y808" s="1385">
        <f>O761+AC785+AC805</f>
        <v>105067</v>
      </c>
      <c r="Z808" s="1263"/>
      <c r="AA808" s="1263"/>
      <c r="AB808" s="1263"/>
      <c r="AC808" s="1264"/>
      <c r="AZ808" s="30"/>
      <c r="BA808" s="30"/>
      <c r="DT808" s="3"/>
      <c r="DU808" s="857">
        <f>CT806+CY806+DD806+DI806+DN806+DS806</f>
        <v>0</v>
      </c>
      <c r="DV808" s="57" t="s">
        <v>1580</v>
      </c>
      <c r="DW808" s="3"/>
      <c r="DX808" s="3"/>
      <c r="DY808" s="3"/>
      <c r="DZ808" s="3"/>
      <c r="EA808" s="3"/>
      <c r="EB808" s="3"/>
      <c r="EC808" s="3"/>
      <c r="ED808" s="3"/>
      <c r="EE808" s="3"/>
      <c r="EF808" s="3"/>
      <c r="EG808" s="3"/>
      <c r="EH808" s="3"/>
    </row>
    <row r="809" spans="1:154" s="4" customFormat="1" ht="12.9" customHeight="1">
      <c r="J809" s="47"/>
      <c r="K809" s="48"/>
      <c r="L809" s="48"/>
      <c r="M809" s="48"/>
      <c r="N809" s="48"/>
      <c r="O809" s="48"/>
      <c r="P809" s="48"/>
      <c r="Q809" s="48"/>
      <c r="R809" s="48"/>
      <c r="S809" s="48"/>
      <c r="T809" s="48"/>
      <c r="U809" s="48"/>
      <c r="V809" s="48"/>
      <c r="W809" s="48"/>
      <c r="X809" s="94" t="s">
        <v>1581</v>
      </c>
      <c r="Y809" s="1385">
        <f>(O761+AC785+AC805)*12</f>
        <v>1260804</v>
      </c>
      <c r="Z809" s="1263"/>
      <c r="AA809" s="1263"/>
      <c r="AB809" s="1263"/>
      <c r="AC809" s="1264"/>
      <c r="AZ809" s="14"/>
      <c r="BA809" s="14"/>
      <c r="CP809" s="34" t="s">
        <v>1582</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row>
    <row r="810" spans="1:154" s="4" customFormat="1" ht="12.9" customHeight="1">
      <c r="B810" s="2"/>
      <c r="X810" s="12"/>
      <c r="Y810" s="12"/>
      <c r="Z810" s="12"/>
      <c r="AA810" s="12"/>
      <c r="AB810" s="12"/>
      <c r="AC810" s="12"/>
      <c r="AD810" s="12"/>
      <c r="AZ810" s="14"/>
      <c r="BA810" s="14"/>
      <c r="BB810" s="14"/>
      <c r="BC810" s="14"/>
      <c r="BD810" s="14"/>
      <c r="BE810" s="14"/>
      <c r="BF810" s="14"/>
      <c r="BG810" s="14"/>
      <c r="BH810" s="14"/>
      <c r="BI810" s="14"/>
      <c r="BJ810" s="14"/>
      <c r="BK810" s="14"/>
      <c r="BL810" s="14"/>
      <c r="BM810" s="14"/>
      <c r="BN810" s="69"/>
      <c r="CB810" s="70"/>
      <c r="CC810" s="70"/>
      <c r="CD810" s="70"/>
      <c r="CE810" s="70"/>
      <c r="CF810" s="70"/>
      <c r="CP810" s="1395">
        <f>CP761+CP785+CP805</f>
        <v>0</v>
      </c>
      <c r="CQ810" s="1263"/>
      <c r="CR810" s="1263"/>
      <c r="CS810" s="1263"/>
      <c r="CT810" s="1264"/>
      <c r="CU810" s="1395">
        <f>CU761+CU785+CU805</f>
        <v>12</v>
      </c>
      <c r="CV810" s="1263"/>
      <c r="CW810" s="1263"/>
      <c r="CX810" s="1263"/>
      <c r="CY810" s="1264"/>
      <c r="CZ810" s="1395">
        <f>CZ761+CZ785+CZ805</f>
        <v>20</v>
      </c>
      <c r="DA810" s="1263"/>
      <c r="DB810" s="1263"/>
      <c r="DC810" s="1263"/>
      <c r="DD810" s="1264"/>
      <c r="DE810" s="1395">
        <f>DE761+DE785+DE805</f>
        <v>28</v>
      </c>
      <c r="DF810" s="1263"/>
      <c r="DG810" s="1263"/>
      <c r="DH810" s="1263"/>
      <c r="DI810" s="1264"/>
      <c r="DJ810" s="1395">
        <f>DJ761+DJ785+DJ805</f>
        <v>6</v>
      </c>
      <c r="DK810" s="1263"/>
      <c r="DL810" s="1263"/>
      <c r="DM810" s="1263"/>
      <c r="DN810" s="1264"/>
      <c r="DO810" s="1414">
        <f>DO805+DO785+DO761</f>
        <v>0</v>
      </c>
      <c r="DP810" s="1263"/>
      <c r="DQ810" s="1263"/>
      <c r="DR810" s="1263"/>
      <c r="DS810" s="1264"/>
      <c r="DT810" s="3"/>
      <c r="DU810" s="857">
        <f>DU763+DU808</f>
        <v>156</v>
      </c>
      <c r="DV810" s="57" t="s">
        <v>1583</v>
      </c>
    </row>
    <row r="811" spans="1:154" s="4" customFormat="1" ht="12.9" customHeight="1">
      <c r="A811" s="2" t="s">
        <v>1123</v>
      </c>
      <c r="B811" s="2"/>
      <c r="C811" s="2" t="s">
        <v>324</v>
      </c>
      <c r="X811" s="12"/>
      <c r="Y811" s="12"/>
      <c r="Z811" s="12"/>
      <c r="AA811" s="12"/>
      <c r="AB811" s="12"/>
      <c r="AC811" s="12"/>
      <c r="AD811" s="12"/>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 customHeight="1">
      <c r="A812" s="2"/>
      <c r="B812" s="2"/>
      <c r="C812" s="2" t="s">
        <v>1584</v>
      </c>
      <c r="X812" s="12"/>
      <c r="Y812" s="12"/>
      <c r="Z812" s="12"/>
      <c r="AA812" s="12"/>
      <c r="AB812" s="12"/>
      <c r="AC812" s="12"/>
      <c r="AD812" s="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 customHeight="1">
      <c r="B813" s="2"/>
      <c r="X813" s="12"/>
      <c r="Y813" s="12"/>
      <c r="Z813" s="12"/>
      <c r="AA813" s="12"/>
      <c r="AB813" s="12"/>
      <c r="AC813" s="12"/>
      <c r="AD813" s="12"/>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 customHeight="1">
      <c r="H814" s="45" t="s">
        <v>1585</v>
      </c>
      <c r="I814" s="5"/>
      <c r="J814" s="5"/>
      <c r="K814" s="5"/>
      <c r="L814" s="5"/>
      <c r="M814" s="5"/>
      <c r="N814" s="5"/>
      <c r="O814" s="5"/>
      <c r="P814" s="5"/>
      <c r="Q814" s="5"/>
      <c r="R814" s="5"/>
      <c r="S814" s="5"/>
      <c r="T814" s="5"/>
      <c r="U814" s="5"/>
      <c r="V814" s="5"/>
      <c r="W814" s="5"/>
      <c r="X814" s="5"/>
      <c r="Y814" s="5"/>
      <c r="Z814" s="1473">
        <v>0</v>
      </c>
      <c r="AA814" s="1374"/>
      <c r="AB814" s="1374"/>
      <c r="AC814" s="1374"/>
      <c r="AD814" s="1374"/>
      <c r="AE814" s="1375"/>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 customHeight="1">
      <c r="H815" s="45" t="s">
        <v>1586</v>
      </c>
      <c r="I815" s="5"/>
      <c r="J815" s="5"/>
      <c r="K815" s="5"/>
      <c r="L815" s="5"/>
      <c r="M815" s="5"/>
      <c r="N815" s="5"/>
      <c r="O815" s="5"/>
      <c r="P815" s="5"/>
      <c r="Q815" s="5"/>
      <c r="R815" s="5"/>
      <c r="S815" s="5"/>
      <c r="T815" s="5"/>
      <c r="U815" s="5"/>
      <c r="V815" s="5"/>
      <c r="W815" s="5"/>
      <c r="X815" s="5"/>
      <c r="Y815" s="5"/>
      <c r="Z815" s="1665">
        <v>0</v>
      </c>
      <c r="AA815" s="1374"/>
      <c r="AB815" s="1374"/>
      <c r="AC815" s="1374"/>
      <c r="AD815" s="1374"/>
      <c r="AE815" s="137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 customHeight="1">
      <c r="H816" s="45" t="s">
        <v>1587</v>
      </c>
      <c r="I816" s="5"/>
      <c r="J816" s="5"/>
      <c r="K816" s="5"/>
      <c r="L816" s="5"/>
      <c r="M816" s="5"/>
      <c r="N816" s="5"/>
      <c r="O816" s="5"/>
      <c r="P816" s="5"/>
      <c r="Q816" s="5"/>
      <c r="R816" s="5"/>
      <c r="S816" s="5"/>
      <c r="T816" s="5"/>
      <c r="U816" s="5"/>
      <c r="V816" s="5"/>
      <c r="W816" s="5"/>
      <c r="X816" s="5"/>
      <c r="Y816" s="5"/>
      <c r="Z816" s="1628">
        <v>0</v>
      </c>
      <c r="AA816" s="1374"/>
      <c r="AB816" s="1374"/>
      <c r="AC816" s="1374"/>
      <c r="AD816" s="1374"/>
      <c r="AE816" s="1375"/>
      <c r="AU816" s="3"/>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 customHeight="1">
      <c r="H817" s="45"/>
      <c r="I817" s="5"/>
      <c r="J817" s="5"/>
      <c r="K817" s="5"/>
      <c r="L817" s="5"/>
      <c r="M817" s="5"/>
      <c r="N817" s="5"/>
      <c r="O817" s="5"/>
      <c r="P817" s="5"/>
      <c r="Q817" s="5"/>
      <c r="R817" s="5"/>
      <c r="S817" s="5"/>
      <c r="T817" s="5"/>
      <c r="U817" s="5"/>
      <c r="V817" s="5"/>
      <c r="W817" s="5"/>
      <c r="X817" s="5"/>
      <c r="Y817" s="53" t="s">
        <v>1588</v>
      </c>
      <c r="Z817" s="1385">
        <f>'Subsidy Contract Calculation'!J40</f>
        <v>0</v>
      </c>
      <c r="AA817" s="1263"/>
      <c r="AB817" s="1263"/>
      <c r="AC817" s="1263"/>
      <c r="AD817" s="1263"/>
      <c r="AE817" s="1264"/>
      <c r="AU817" s="3"/>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 customHeight="1">
      <c r="X818" s="12"/>
      <c r="Y818" s="12"/>
      <c r="Z818" s="12"/>
      <c r="AA818" s="12"/>
      <c r="AB818" s="12"/>
      <c r="AC818" s="12"/>
      <c r="AD818" s="12"/>
      <c r="AU818" s="3"/>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 customHeight="1">
      <c r="A819" s="2" t="s">
        <v>1135</v>
      </c>
      <c r="B819" s="2"/>
      <c r="C819" s="2" t="s">
        <v>327</v>
      </c>
      <c r="X819" s="12"/>
      <c r="Y819" s="12"/>
      <c r="Z819" s="12"/>
      <c r="AA819" s="12"/>
      <c r="AB819" s="12"/>
      <c r="AC819" s="12"/>
      <c r="AD819" s="12"/>
      <c r="AU819" s="3"/>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 customHeight="1">
      <c r="X820" s="12"/>
      <c r="Y820" s="12"/>
      <c r="Z820" s="12"/>
      <c r="AA820" s="12"/>
      <c r="AB820" s="12"/>
      <c r="AC820" s="12"/>
      <c r="AD820" s="12"/>
      <c r="AU820" s="3"/>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 customHeight="1">
      <c r="H821" s="45" t="s">
        <v>1589</v>
      </c>
      <c r="I821" s="5"/>
      <c r="J821" s="5"/>
      <c r="K821" s="5"/>
      <c r="L821" s="5"/>
      <c r="M821" s="5"/>
      <c r="N821" s="5"/>
      <c r="O821" s="5"/>
      <c r="P821" s="5"/>
      <c r="Q821" s="5"/>
      <c r="R821" s="5"/>
      <c r="S821" s="5"/>
      <c r="T821" s="5"/>
      <c r="U821" s="5"/>
      <c r="V821" s="5"/>
      <c r="W821" s="5"/>
      <c r="X821" s="5"/>
      <c r="Y821" s="5"/>
      <c r="Z821" s="1394">
        <v>4000</v>
      </c>
      <c r="AA821" s="1374"/>
      <c r="AB821" s="1374"/>
      <c r="AC821" s="1374"/>
      <c r="AD821" s="1374"/>
      <c r="AE821" s="1375"/>
      <c r="AU821" s="3"/>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 customHeight="1">
      <c r="H822" s="45" t="s">
        <v>1590</v>
      </c>
      <c r="I822" s="5"/>
      <c r="J822" s="5"/>
      <c r="K822" s="5"/>
      <c r="L822" s="5"/>
      <c r="M822" s="5"/>
      <c r="N822" s="5"/>
      <c r="O822" s="5"/>
      <c r="P822" s="5"/>
      <c r="Q822" s="5"/>
      <c r="R822" s="5"/>
      <c r="S822" s="5"/>
      <c r="T822" s="5"/>
      <c r="U822" s="5"/>
      <c r="V822" s="5"/>
      <c r="W822" s="5"/>
      <c r="X822" s="5"/>
      <c r="Y822" s="5"/>
      <c r="Z822" s="1394"/>
      <c r="AA822" s="1374"/>
      <c r="AB822" s="1374"/>
      <c r="AC822" s="1374"/>
      <c r="AD822" s="1374"/>
      <c r="AE822" s="1375"/>
      <c r="AU822" s="3"/>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 customHeight="1">
      <c r="H823" s="45" t="s">
        <v>1591</v>
      </c>
      <c r="I823" s="5"/>
      <c r="J823" s="5"/>
      <c r="K823" s="5"/>
      <c r="L823" s="5"/>
      <c r="M823" s="5"/>
      <c r="N823" s="5"/>
      <c r="O823" s="5"/>
      <c r="P823" s="5"/>
      <c r="Q823" s="5"/>
      <c r="R823" s="5"/>
      <c r="S823" s="5"/>
      <c r="T823" s="5"/>
      <c r="U823" s="5"/>
      <c r="V823" s="5"/>
      <c r="W823" s="5"/>
      <c r="X823" s="5"/>
      <c r="Y823" s="5"/>
      <c r="Z823" s="1394"/>
      <c r="AA823" s="1374"/>
      <c r="AB823" s="1374"/>
      <c r="AC823" s="1374"/>
      <c r="AD823" s="1374"/>
      <c r="AE823" s="1375"/>
      <c r="AU823" s="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 customHeight="1">
      <c r="H824" s="45" t="s">
        <v>1592</v>
      </c>
      <c r="I824" s="5"/>
      <c r="J824" s="5"/>
      <c r="K824" s="5"/>
      <c r="L824" s="5"/>
      <c r="M824" s="5"/>
      <c r="N824" s="5"/>
      <c r="O824" s="5"/>
      <c r="P824" s="1494" t="s">
        <v>1168</v>
      </c>
      <c r="Q824" s="1374"/>
      <c r="R824" s="1374"/>
      <c r="S824" s="1374"/>
      <c r="T824" s="1374"/>
      <c r="U824" s="1374"/>
      <c r="V824" s="1374"/>
      <c r="W824" s="1374"/>
      <c r="X824" s="1374"/>
      <c r="Y824" s="1375"/>
      <c r="Z824" s="1394">
        <v>1000</v>
      </c>
      <c r="AA824" s="1374"/>
      <c r="AB824" s="1374"/>
      <c r="AC824" s="1374"/>
      <c r="AD824" s="1374"/>
      <c r="AE824" s="1375"/>
      <c r="AU824" s="3"/>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 customHeight="1">
      <c r="H825" s="45"/>
      <c r="I825" s="5"/>
      <c r="J825" s="5"/>
      <c r="K825" s="5"/>
      <c r="L825" s="5"/>
      <c r="M825" s="5"/>
      <c r="N825" s="5"/>
      <c r="O825" s="5"/>
      <c r="P825" s="5"/>
      <c r="Q825" s="5"/>
      <c r="R825" s="5"/>
      <c r="S825" s="5"/>
      <c r="T825" s="5"/>
      <c r="U825" s="5"/>
      <c r="V825" s="5"/>
      <c r="W825" s="5"/>
      <c r="X825" s="5"/>
      <c r="Y825" s="53" t="s">
        <v>1593</v>
      </c>
      <c r="Z825" s="1385">
        <f>SUM(Z821:AE824)</f>
        <v>5000</v>
      </c>
      <c r="AA825" s="1263"/>
      <c r="AB825" s="1263"/>
      <c r="AC825" s="1263"/>
      <c r="AD825" s="1263"/>
      <c r="AE825" s="1264"/>
      <c r="AU825" s="3"/>
      <c r="AZ825" s="30"/>
      <c r="BA825" s="30"/>
      <c r="BB825" s="14"/>
      <c r="BC825" s="14"/>
    </row>
    <row r="826" spans="1:110" s="4" customFormat="1" ht="12.9" customHeight="1">
      <c r="H826" s="45"/>
      <c r="I826" s="5"/>
      <c r="J826" s="5"/>
      <c r="K826" s="5"/>
      <c r="L826" s="5"/>
      <c r="M826" s="5"/>
      <c r="N826" s="5"/>
      <c r="O826" s="5"/>
      <c r="P826" s="5"/>
      <c r="Q826" s="5"/>
      <c r="R826" s="5"/>
      <c r="S826" s="5"/>
      <c r="T826" s="5"/>
      <c r="U826" s="5"/>
      <c r="V826" s="5"/>
      <c r="W826" s="5"/>
      <c r="X826" s="5"/>
      <c r="Y826" s="53" t="s">
        <v>1594</v>
      </c>
      <c r="Z826" s="1385">
        <f>Z825+Y809+Z817</f>
        <v>1265804</v>
      </c>
      <c r="AA826" s="1263"/>
      <c r="AB826" s="1263"/>
      <c r="AC826" s="1263"/>
      <c r="AD826" s="1263"/>
      <c r="AE826" s="1264"/>
      <c r="AU826" s="3"/>
      <c r="AV826" s="3"/>
      <c r="AW826" s="3"/>
      <c r="AX826" s="3"/>
      <c r="AY826" s="3"/>
      <c r="AZ826" s="30"/>
      <c r="BA826" s="30"/>
      <c r="BB826" s="14"/>
      <c r="BC826" s="14"/>
    </row>
    <row r="827" spans="1:110" s="4" customFormat="1" ht="12.9" customHeight="1">
      <c r="X827" s="12"/>
      <c r="Y827" s="12"/>
      <c r="Z827" s="12"/>
      <c r="AA827" s="12"/>
      <c r="AB827" s="12"/>
      <c r="AC827" s="12"/>
      <c r="AD827" s="12"/>
      <c r="AU827" s="3"/>
      <c r="AV827" s="3"/>
      <c r="AW827" s="3"/>
      <c r="AX827" s="3"/>
      <c r="AY827" s="3"/>
      <c r="AZ827" s="30"/>
      <c r="BA827" s="30"/>
      <c r="BB827" s="14"/>
      <c r="BC827" s="14"/>
    </row>
    <row r="828" spans="1:110" s="4" customFormat="1" ht="12.9" customHeight="1">
      <c r="A828" s="2" t="s">
        <v>1162</v>
      </c>
      <c r="B828" s="2"/>
      <c r="C828" s="2" t="s">
        <v>330</v>
      </c>
      <c r="W828" s="56"/>
      <c r="AU828" s="3"/>
      <c r="AV828" s="3"/>
      <c r="AW828" s="3"/>
      <c r="AX828" s="3"/>
      <c r="AY828" s="3"/>
      <c r="AZ828" s="30"/>
      <c r="BA828" s="30"/>
      <c r="BB828" s="14"/>
      <c r="BC828" s="14"/>
    </row>
    <row r="829" spans="1:110" s="4" customFormat="1" ht="12.9" customHeight="1">
      <c r="C829" s="22" t="s">
        <v>1595</v>
      </c>
      <c r="W829" s="56"/>
      <c r="AU829" s="3"/>
      <c r="AV829" s="3"/>
      <c r="AW829" s="3"/>
      <c r="AX829" s="3"/>
      <c r="AY829" s="3"/>
      <c r="AZ829" s="30"/>
      <c r="BA829" s="30"/>
      <c r="BB829" s="14"/>
      <c r="BC829" s="14"/>
    </row>
    <row r="830" spans="1:110" s="4" customFormat="1" ht="12.9" customHeight="1">
      <c r="C830" s="28"/>
      <c r="W830" s="56"/>
      <c r="AU830" s="3"/>
      <c r="AV830" s="3"/>
      <c r="AW830" s="3"/>
      <c r="AX830" s="3"/>
      <c r="AY830" s="3"/>
      <c r="AZ830" s="30"/>
      <c r="BA830" s="30"/>
      <c r="BB830" s="14"/>
      <c r="BC830" s="14"/>
    </row>
    <row r="831" spans="1:110" s="4" customFormat="1" ht="12.9" customHeight="1">
      <c r="C831" s="41"/>
      <c r="D831" s="42"/>
      <c r="E831" s="42"/>
      <c r="F831" s="42"/>
      <c r="G831" s="42"/>
      <c r="H831" s="42"/>
      <c r="I831" s="42"/>
      <c r="J831" s="42"/>
      <c r="K831" s="42"/>
      <c r="L831" s="58"/>
      <c r="M831" s="1563" t="s">
        <v>1596</v>
      </c>
      <c r="N831" s="1417"/>
      <c r="O831" s="1417"/>
      <c r="P831" s="1423"/>
      <c r="Q831" s="1455" t="s">
        <v>1597</v>
      </c>
      <c r="R831" s="1417"/>
      <c r="S831" s="1417"/>
      <c r="T831" s="1423"/>
      <c r="U831" s="1455" t="s">
        <v>1598</v>
      </c>
      <c r="V831" s="1417"/>
      <c r="W831" s="1417"/>
      <c r="X831" s="1423"/>
      <c r="Y831" s="1455" t="s">
        <v>1599</v>
      </c>
      <c r="Z831" s="1417"/>
      <c r="AA831" s="1417"/>
      <c r="AB831" s="1423"/>
      <c r="AC831" s="1455" t="s">
        <v>1600</v>
      </c>
      <c r="AD831" s="1417"/>
      <c r="AE831" s="1417"/>
      <c r="AF831" s="1423"/>
      <c r="AG831" s="1620" t="s">
        <v>1601</v>
      </c>
      <c r="AH831" s="1470"/>
      <c r="AI831" s="1470"/>
      <c r="AJ831" s="1471"/>
      <c r="AL831" s="3"/>
      <c r="AM831" s="3"/>
      <c r="AN831" s="3"/>
      <c r="AO831" s="3"/>
      <c r="AP831" s="3"/>
      <c r="AQ831" s="3"/>
      <c r="AR831" s="3"/>
      <c r="AS831" s="3"/>
      <c r="AT831" s="3"/>
      <c r="AU831" s="3"/>
      <c r="AV831" s="3"/>
      <c r="AW831" s="3"/>
      <c r="AX831" s="3"/>
      <c r="AY831" s="3"/>
      <c r="AZ831" s="30"/>
      <c r="BA831" s="30"/>
      <c r="BB831" s="14"/>
      <c r="BC831" s="14"/>
    </row>
    <row r="832" spans="1:110" s="14" customFormat="1" ht="12.9" customHeight="1">
      <c r="C832" s="47"/>
      <c r="D832" s="48"/>
      <c r="E832" s="48"/>
      <c r="F832" s="48"/>
      <c r="G832" s="48"/>
      <c r="H832" s="48"/>
      <c r="I832" s="48"/>
      <c r="J832" s="48"/>
      <c r="K832" s="48"/>
      <c r="L832" s="49"/>
      <c r="M832" s="1405"/>
      <c r="N832" s="1405"/>
      <c r="O832" s="1405"/>
      <c r="P832" s="1296"/>
      <c r="Q832" s="1404"/>
      <c r="R832" s="1405"/>
      <c r="S832" s="1405"/>
      <c r="T832" s="1296"/>
      <c r="U832" s="1404"/>
      <c r="V832" s="1405"/>
      <c r="W832" s="1405"/>
      <c r="X832" s="1296"/>
      <c r="Y832" s="1404"/>
      <c r="Z832" s="1405"/>
      <c r="AA832" s="1405"/>
      <c r="AB832" s="1296"/>
      <c r="AC832" s="1404"/>
      <c r="AD832" s="1405"/>
      <c r="AE832" s="1405"/>
      <c r="AF832" s="1296"/>
      <c r="AG832" s="1472"/>
      <c r="AH832" s="1294"/>
      <c r="AI832" s="1294"/>
      <c r="AJ832" s="1388"/>
      <c r="AL832" s="3"/>
      <c r="AM832" s="3"/>
      <c r="AN832" s="3"/>
      <c r="AO832" s="3"/>
      <c r="AP832" s="3"/>
      <c r="AQ832" s="3"/>
      <c r="AR832" s="3"/>
      <c r="AS832" s="3"/>
      <c r="AT832" s="3"/>
      <c r="AV832" s="3"/>
      <c r="AW832" s="3"/>
      <c r="AX832" s="3"/>
      <c r="AY832" s="3"/>
      <c r="AZ832" s="30"/>
      <c r="BA832" s="30"/>
    </row>
    <row r="833" spans="1:53" s="14" customFormat="1" ht="12.9" customHeight="1">
      <c r="C833" s="1529" t="s">
        <v>1602</v>
      </c>
      <c r="D833" s="1405"/>
      <c r="E833" s="1405"/>
      <c r="F833" s="1405"/>
      <c r="G833" s="1405"/>
      <c r="H833" s="1405"/>
      <c r="I833" s="48"/>
      <c r="J833" s="48"/>
      <c r="K833" s="48"/>
      <c r="L833" s="49"/>
      <c r="M833" s="1412"/>
      <c r="N833" s="1374"/>
      <c r="O833" s="1374"/>
      <c r="P833" s="1375"/>
      <c r="Q833" s="1412">
        <v>9</v>
      </c>
      <c r="R833" s="1374"/>
      <c r="S833" s="1374"/>
      <c r="T833" s="1375"/>
      <c r="U833" s="1412">
        <v>12</v>
      </c>
      <c r="V833" s="1374"/>
      <c r="W833" s="1374"/>
      <c r="X833" s="1375"/>
      <c r="Y833" s="1412">
        <v>15</v>
      </c>
      <c r="Z833" s="1374"/>
      <c r="AA833" s="1374"/>
      <c r="AB833" s="1375"/>
      <c r="AC833" s="1412">
        <v>19</v>
      </c>
      <c r="AD833" s="1374"/>
      <c r="AE833" s="1374"/>
      <c r="AF833" s="1375"/>
      <c r="AG833" s="1412"/>
      <c r="AH833" s="1374"/>
      <c r="AI833" s="1374"/>
      <c r="AJ833" s="1375"/>
      <c r="AL833" s="3"/>
      <c r="AM833" s="3"/>
      <c r="AN833" s="3"/>
      <c r="AO833" s="3"/>
      <c r="AP833" s="3"/>
      <c r="AQ833" s="3"/>
      <c r="AR833" s="3"/>
      <c r="AS833" s="3"/>
      <c r="AT833" s="3"/>
      <c r="AV833" s="3"/>
      <c r="AW833" s="3"/>
      <c r="AX833" s="3"/>
      <c r="AY833" s="3"/>
      <c r="AZ833" s="30"/>
      <c r="BA833" s="30"/>
    </row>
    <row r="834" spans="1:53" s="14" customFormat="1" ht="12.9" customHeight="1">
      <c r="C834" s="1478" t="s">
        <v>1603</v>
      </c>
      <c r="D834" s="1263"/>
      <c r="E834" s="1263"/>
      <c r="F834" s="1263"/>
      <c r="G834" s="1263"/>
      <c r="H834" s="1263"/>
      <c r="I834" s="5"/>
      <c r="J834" s="5"/>
      <c r="K834" s="5"/>
      <c r="L834" s="46"/>
      <c r="M834" s="1412"/>
      <c r="N834" s="1374"/>
      <c r="O834" s="1374"/>
      <c r="P834" s="1375"/>
      <c r="Q834" s="1412"/>
      <c r="R834" s="1374"/>
      <c r="S834" s="1374"/>
      <c r="T834" s="1375"/>
      <c r="U834" s="1412"/>
      <c r="V834" s="1374"/>
      <c r="W834" s="1374"/>
      <c r="X834" s="1375"/>
      <c r="Y834" s="1412"/>
      <c r="Z834" s="1374"/>
      <c r="AA834" s="1374"/>
      <c r="AB834" s="1375"/>
      <c r="AC834" s="1412"/>
      <c r="AD834" s="1374"/>
      <c r="AE834" s="1374"/>
      <c r="AF834" s="1375"/>
      <c r="AG834" s="1412"/>
      <c r="AH834" s="1374"/>
      <c r="AI834" s="1374"/>
      <c r="AJ834" s="1375"/>
      <c r="AL834" s="3"/>
      <c r="AM834" s="3"/>
      <c r="AN834" s="3"/>
      <c r="AO834" s="3"/>
      <c r="AP834" s="3"/>
      <c r="AQ834" s="3"/>
      <c r="AR834" s="3"/>
      <c r="AS834" s="3"/>
      <c r="AT834" s="3"/>
      <c r="AV834" s="3"/>
      <c r="AW834" s="3"/>
      <c r="AX834" s="3"/>
      <c r="AY834" s="3"/>
      <c r="AZ834" s="30"/>
      <c r="BA834" s="30"/>
    </row>
    <row r="835" spans="1:53" s="14" customFormat="1" ht="12.9" customHeight="1">
      <c r="C835" s="1478" t="s">
        <v>1604</v>
      </c>
      <c r="D835" s="1263"/>
      <c r="E835" s="1263"/>
      <c r="F835" s="1263"/>
      <c r="G835" s="1263"/>
      <c r="H835" s="1263"/>
      <c r="I835" s="60"/>
      <c r="J835" s="60"/>
      <c r="K835" s="60"/>
      <c r="L835" s="61"/>
      <c r="M835" s="1412"/>
      <c r="N835" s="1374"/>
      <c r="O835" s="1374"/>
      <c r="P835" s="1375"/>
      <c r="Q835" s="1412">
        <v>4</v>
      </c>
      <c r="R835" s="1374"/>
      <c r="S835" s="1374"/>
      <c r="T835" s="1375"/>
      <c r="U835" s="1412">
        <v>6</v>
      </c>
      <c r="V835" s="1374"/>
      <c r="W835" s="1374"/>
      <c r="X835" s="1375"/>
      <c r="Y835" s="1412">
        <v>7</v>
      </c>
      <c r="Z835" s="1374"/>
      <c r="AA835" s="1374"/>
      <c r="AB835" s="1375"/>
      <c r="AC835" s="1412">
        <v>9</v>
      </c>
      <c r="AD835" s="1374"/>
      <c r="AE835" s="1374"/>
      <c r="AF835" s="1375"/>
      <c r="AG835" s="1412"/>
      <c r="AH835" s="1374"/>
      <c r="AI835" s="1374"/>
      <c r="AJ835" s="1375"/>
      <c r="AL835" s="3"/>
      <c r="AM835" s="3"/>
      <c r="AN835" s="3"/>
      <c r="AO835" s="3"/>
      <c r="AP835" s="3"/>
      <c r="AQ835" s="3"/>
      <c r="AR835" s="3"/>
      <c r="AS835" s="3"/>
      <c r="AT835" s="3"/>
      <c r="AV835" s="3"/>
      <c r="AW835" s="3"/>
      <c r="AX835" s="3"/>
      <c r="AY835" s="3"/>
      <c r="AZ835" s="30"/>
      <c r="BA835" s="30"/>
    </row>
    <row r="836" spans="1:53" s="14" customFormat="1" ht="12.9" customHeight="1">
      <c r="C836" s="1478" t="s">
        <v>1605</v>
      </c>
      <c r="D836" s="1263"/>
      <c r="E836" s="1263"/>
      <c r="F836" s="1263"/>
      <c r="G836" s="1263"/>
      <c r="H836" s="1263"/>
      <c r="I836" s="60"/>
      <c r="J836" s="60"/>
      <c r="K836" s="60"/>
      <c r="L836" s="61"/>
      <c r="M836" s="1412"/>
      <c r="N836" s="1374"/>
      <c r="O836" s="1374"/>
      <c r="P836" s="1375"/>
      <c r="Q836" s="1412">
        <v>24</v>
      </c>
      <c r="R836" s="1374"/>
      <c r="S836" s="1374"/>
      <c r="T836" s="1375"/>
      <c r="U836" s="1412">
        <v>30</v>
      </c>
      <c r="V836" s="1374"/>
      <c r="W836" s="1374"/>
      <c r="X836" s="1375"/>
      <c r="Y836" s="1412">
        <v>37</v>
      </c>
      <c r="Z836" s="1374"/>
      <c r="AA836" s="1374"/>
      <c r="AB836" s="1375"/>
      <c r="AC836" s="1412">
        <v>47</v>
      </c>
      <c r="AD836" s="1374"/>
      <c r="AE836" s="1374"/>
      <c r="AF836" s="1375"/>
      <c r="AG836" s="1412"/>
      <c r="AH836" s="1374"/>
      <c r="AI836" s="1374"/>
      <c r="AJ836" s="1375"/>
      <c r="AL836" s="3"/>
      <c r="AM836" s="3"/>
      <c r="AN836" s="3"/>
      <c r="AO836" s="3"/>
      <c r="AP836" s="3"/>
      <c r="AQ836" s="3"/>
      <c r="AR836" s="3"/>
      <c r="AS836" s="3"/>
      <c r="AT836" s="3"/>
      <c r="AV836" s="3"/>
      <c r="AW836" s="3"/>
      <c r="AX836" s="3"/>
      <c r="AY836" s="3"/>
      <c r="AZ836" s="30"/>
      <c r="BA836" s="30"/>
    </row>
    <row r="837" spans="1:53" s="14" customFormat="1" ht="12.9" customHeight="1">
      <c r="C837" s="1478" t="s">
        <v>1606</v>
      </c>
      <c r="D837" s="1263"/>
      <c r="E837" s="1263"/>
      <c r="F837" s="1263"/>
      <c r="G837" s="1263"/>
      <c r="H837" s="1263"/>
      <c r="I837" s="60"/>
      <c r="J837" s="60"/>
      <c r="K837" s="60"/>
      <c r="L837" s="61"/>
      <c r="M837" s="1412"/>
      <c r="N837" s="1374"/>
      <c r="O837" s="1374"/>
      <c r="P837" s="1375"/>
      <c r="Q837" s="1412">
        <v>11</v>
      </c>
      <c r="R837" s="1374"/>
      <c r="S837" s="1374"/>
      <c r="T837" s="1375"/>
      <c r="U837" s="1412">
        <v>14</v>
      </c>
      <c r="V837" s="1374"/>
      <c r="W837" s="1374"/>
      <c r="X837" s="1375"/>
      <c r="Y837" s="1412">
        <v>17</v>
      </c>
      <c r="Z837" s="1374"/>
      <c r="AA837" s="1374"/>
      <c r="AB837" s="1375"/>
      <c r="AC837" s="1412">
        <v>22</v>
      </c>
      <c r="AD837" s="1374"/>
      <c r="AE837" s="1374"/>
      <c r="AF837" s="1375"/>
      <c r="AG837" s="1412"/>
      <c r="AH837" s="1374"/>
      <c r="AI837" s="1374"/>
      <c r="AJ837" s="1375"/>
      <c r="AL837" s="3"/>
      <c r="AM837" s="3"/>
      <c r="AN837" s="3"/>
      <c r="AO837" s="3"/>
      <c r="AP837" s="3"/>
      <c r="AQ837" s="3"/>
      <c r="AR837" s="3"/>
      <c r="AS837" s="3"/>
      <c r="AT837" s="3"/>
      <c r="AV837" s="3"/>
      <c r="AW837" s="3"/>
      <c r="AX837" s="3"/>
      <c r="AY837" s="3"/>
      <c r="AZ837" s="30"/>
      <c r="BA837" s="30"/>
    </row>
    <row r="838" spans="1:53" s="14" customFormat="1" ht="12.9" customHeight="1">
      <c r="C838" s="1466" t="s">
        <v>1607</v>
      </c>
      <c r="D838" s="1263"/>
      <c r="E838" s="1263"/>
      <c r="F838" s="1263"/>
      <c r="G838" s="1263"/>
      <c r="H838" s="1263"/>
      <c r="I838" s="60"/>
      <c r="J838" s="60"/>
      <c r="K838" s="60"/>
      <c r="L838" s="61"/>
      <c r="M838" s="1412"/>
      <c r="N838" s="1374"/>
      <c r="O838" s="1374"/>
      <c r="P838" s="1375"/>
      <c r="Q838" s="1412"/>
      <c r="R838" s="1374"/>
      <c r="S838" s="1374"/>
      <c r="T838" s="1375"/>
      <c r="U838" s="1412"/>
      <c r="V838" s="1374"/>
      <c r="W838" s="1374"/>
      <c r="X838" s="1375"/>
      <c r="Y838" s="1412"/>
      <c r="Z838" s="1374"/>
      <c r="AA838" s="1374"/>
      <c r="AB838" s="1375"/>
      <c r="AC838" s="1412"/>
      <c r="AD838" s="1374"/>
      <c r="AE838" s="1374"/>
      <c r="AF838" s="1375"/>
      <c r="AG838" s="1412"/>
      <c r="AH838" s="1374"/>
      <c r="AI838" s="1374"/>
      <c r="AJ838" s="1375"/>
      <c r="AL838" s="3"/>
      <c r="AM838" s="3"/>
      <c r="AN838" s="3"/>
      <c r="AO838" s="3"/>
      <c r="AP838" s="3"/>
      <c r="AQ838" s="3"/>
      <c r="AR838" s="3"/>
      <c r="AS838" s="3"/>
      <c r="AT838" s="3"/>
      <c r="AV838" s="3"/>
      <c r="AW838" s="3"/>
      <c r="AX838" s="3"/>
      <c r="AY838" s="3"/>
      <c r="AZ838" s="30"/>
      <c r="BA838" s="30"/>
    </row>
    <row r="839" spans="1:53" s="14" customFormat="1" ht="12.9" customHeight="1">
      <c r="C839" s="59" t="s">
        <v>345</v>
      </c>
      <c r="D839" s="60"/>
      <c r="E839" s="60"/>
      <c r="F839" s="1653" t="s">
        <v>1168</v>
      </c>
      <c r="G839" s="1374"/>
      <c r="H839" s="1374"/>
      <c r="I839" s="1374"/>
      <c r="J839" s="1374"/>
      <c r="K839" s="1374"/>
      <c r="L839" s="1374"/>
      <c r="M839" s="1412"/>
      <c r="N839" s="1374"/>
      <c r="O839" s="1374"/>
      <c r="P839" s="1375"/>
      <c r="Q839" s="1412"/>
      <c r="R839" s="1374"/>
      <c r="S839" s="1374"/>
      <c r="T839" s="1375"/>
      <c r="U839" s="1412"/>
      <c r="V839" s="1374"/>
      <c r="W839" s="1374"/>
      <c r="X839" s="1375"/>
      <c r="Y839" s="1412"/>
      <c r="Z839" s="1374"/>
      <c r="AA839" s="1374"/>
      <c r="AB839" s="1375"/>
      <c r="AC839" s="1412"/>
      <c r="AD839" s="1374"/>
      <c r="AE839" s="1374"/>
      <c r="AF839" s="1375"/>
      <c r="AG839" s="1412"/>
      <c r="AH839" s="1374"/>
      <c r="AI839" s="1374"/>
      <c r="AJ839" s="1375"/>
      <c r="AL839" s="3"/>
      <c r="AM839" s="3"/>
      <c r="AN839" s="3"/>
      <c r="AO839" s="3"/>
      <c r="AP839" s="3"/>
      <c r="AQ839" s="3"/>
      <c r="AR839" s="3"/>
      <c r="AS839" s="3"/>
      <c r="AT839" s="3"/>
      <c r="AV839" s="3"/>
      <c r="AW839" s="3"/>
      <c r="AX839" s="3"/>
      <c r="AY839" s="3"/>
      <c r="AZ839" s="30"/>
      <c r="BA839" s="30"/>
    </row>
    <row r="840" spans="1:53" s="14" customFormat="1" ht="12.9" customHeight="1">
      <c r="C840" s="1498" t="s">
        <v>1555</v>
      </c>
      <c r="D840" s="1263"/>
      <c r="E840" s="1263"/>
      <c r="F840" s="1263"/>
      <c r="G840" s="1263"/>
      <c r="H840" s="1263"/>
      <c r="I840" s="1263"/>
      <c r="J840" s="1263"/>
      <c r="K840" s="1263"/>
      <c r="L840" s="1264"/>
      <c r="M840" s="1419">
        <f>SUM(M833:P839)</f>
        <v>0</v>
      </c>
      <c r="N840" s="1263"/>
      <c r="O840" s="1263"/>
      <c r="P840" s="1264"/>
      <c r="Q840" s="1419">
        <f>SUM(Q833:T839)</f>
        <v>48</v>
      </c>
      <c r="R840" s="1263"/>
      <c r="S840" s="1263"/>
      <c r="T840" s="1264"/>
      <c r="U840" s="1419">
        <f>SUM(U833:X839)</f>
        <v>62</v>
      </c>
      <c r="V840" s="1263"/>
      <c r="W840" s="1263"/>
      <c r="X840" s="1264"/>
      <c r="Y840" s="1419">
        <f>SUM(Y833:AB839)</f>
        <v>76</v>
      </c>
      <c r="Z840" s="1263"/>
      <c r="AA840" s="1263"/>
      <c r="AB840" s="1264"/>
      <c r="AC840" s="1419">
        <f>SUM(AC833:AF839)</f>
        <v>97</v>
      </c>
      <c r="AD840" s="1263"/>
      <c r="AE840" s="1263"/>
      <c r="AF840" s="1264"/>
      <c r="AG840" s="1419">
        <f>SUM(AG833:AJ839)</f>
        <v>0</v>
      </c>
      <c r="AH840" s="1263"/>
      <c r="AI840" s="1263"/>
      <c r="AJ840" s="1264"/>
      <c r="AL840" s="3"/>
      <c r="AM840" s="3"/>
      <c r="AN840" s="3"/>
      <c r="AO840" s="3"/>
      <c r="AP840" s="3"/>
      <c r="AQ840" s="3"/>
      <c r="AR840" s="3"/>
      <c r="AS840" s="3"/>
      <c r="AT840" s="3"/>
      <c r="AV840" s="3"/>
      <c r="AW840" s="3"/>
      <c r="AX840" s="3"/>
      <c r="AY840" s="3"/>
      <c r="AZ840" s="30"/>
      <c r="BA840" s="30"/>
    </row>
    <row r="841" spans="1:53" s="14" customFormat="1" ht="12.9" customHeight="1">
      <c r="C841" s="57" t="s">
        <v>1608</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L841" s="3"/>
      <c r="AM841" s="3"/>
      <c r="AN841" s="3"/>
      <c r="AO841" s="3"/>
      <c r="AP841" s="3"/>
      <c r="AQ841" s="3"/>
      <c r="AR841" s="3"/>
      <c r="AS841" s="3"/>
      <c r="AT841" s="3"/>
      <c r="AV841" s="3"/>
      <c r="AW841" s="3"/>
      <c r="AX841" s="3"/>
      <c r="AY841" s="3"/>
      <c r="AZ841" s="30"/>
      <c r="BA841" s="30"/>
    </row>
    <row r="842" spans="1:53" s="14" customFormat="1" ht="12.9" customHeight="1">
      <c r="C842" s="57" t="s">
        <v>1609</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L842" s="3"/>
      <c r="AM842" s="3"/>
      <c r="AN842" s="3"/>
      <c r="AO842" s="3"/>
      <c r="AP842" s="3"/>
      <c r="AQ842" s="3"/>
      <c r="AR842" s="3"/>
      <c r="AS842" s="3"/>
      <c r="AT842" s="3"/>
      <c r="AZ842" s="30"/>
      <c r="BA842" s="30"/>
    </row>
    <row r="843" spans="1:53" s="14" customFormat="1" ht="12.9" customHeight="1">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L843" s="3"/>
      <c r="AM843" s="3"/>
      <c r="AN843" s="3"/>
      <c r="AO843" s="3"/>
      <c r="AP843" s="3"/>
      <c r="AQ843" s="3"/>
      <c r="AR843" s="3"/>
      <c r="AS843" s="3"/>
      <c r="AT843" s="3"/>
      <c r="AZ843" s="30"/>
      <c r="BA843" s="30"/>
    </row>
    <row r="844" spans="1:53" s="14" customFormat="1" ht="12.9" customHeight="1">
      <c r="C844" s="2" t="s">
        <v>1610</v>
      </c>
      <c r="R844" s="8"/>
      <c r="S844" s="8"/>
      <c r="T844" s="8"/>
      <c r="U844" s="8"/>
      <c r="V844" s="8"/>
      <c r="W844" s="8"/>
      <c r="X844" s="8"/>
      <c r="Y844" s="8"/>
      <c r="Z844" s="8"/>
      <c r="AA844" s="8"/>
      <c r="AB844" s="8"/>
      <c r="AC844" s="8"/>
      <c r="AD844" s="8"/>
      <c r="AE844" s="8"/>
      <c r="AF844" s="8"/>
      <c r="AG844" s="8"/>
      <c r="AH844" s="8"/>
      <c r="AI844" s="8"/>
      <c r="AJ844" s="8"/>
      <c r="AL844" s="3"/>
      <c r="AM844" s="3"/>
      <c r="AN844" s="3"/>
      <c r="AO844" s="3"/>
      <c r="AP844" s="3"/>
      <c r="AQ844" s="3"/>
      <c r="AR844" s="3"/>
      <c r="AS844" s="3"/>
      <c r="AT844" s="3"/>
      <c r="AZ844" s="30"/>
      <c r="BA844" s="30"/>
    </row>
    <row r="845" spans="1:53" s="14" customFormat="1" ht="12.9" customHeight="1">
      <c r="C845" s="1541" t="s">
        <v>2761</v>
      </c>
      <c r="D845" s="1374"/>
      <c r="E845" s="1374"/>
      <c r="F845" s="1374"/>
      <c r="G845" s="1374"/>
      <c r="H845" s="1374"/>
      <c r="I845" s="1374"/>
      <c r="J845" s="1374"/>
      <c r="K845" s="1374"/>
      <c r="L845" s="1374"/>
      <c r="M845" s="1374"/>
      <c r="N845" s="1374"/>
      <c r="O845" s="1374"/>
      <c r="P845" s="1374"/>
      <c r="Q845" s="1374"/>
      <c r="R845" s="1374"/>
      <c r="S845" s="1374"/>
      <c r="T845" s="1374"/>
      <c r="U845" s="1374"/>
      <c r="V845" s="1374"/>
      <c r="W845" s="1374"/>
      <c r="X845" s="1374"/>
      <c r="Y845" s="1374"/>
      <c r="Z845" s="1374"/>
      <c r="AA845" s="1374"/>
      <c r="AB845" s="1374"/>
      <c r="AC845" s="1374"/>
      <c r="AD845" s="1374"/>
      <c r="AE845" s="1374"/>
      <c r="AF845" s="1374"/>
      <c r="AG845" s="1374"/>
      <c r="AH845" s="1374"/>
      <c r="AI845" s="1374"/>
      <c r="AJ845" s="1375"/>
      <c r="AL845" s="3"/>
      <c r="AM845" s="3"/>
      <c r="AN845" s="3"/>
      <c r="AO845" s="3"/>
      <c r="AP845" s="3"/>
      <c r="AQ845" s="3"/>
      <c r="AR845" s="3"/>
      <c r="AS845" s="3"/>
      <c r="AT845" s="3"/>
      <c r="AZ845" s="30"/>
      <c r="BA845" s="30"/>
    </row>
    <row r="846" spans="1:53" s="14" customFormat="1" ht="12.9" customHeight="1">
      <c r="B846" s="4"/>
      <c r="C846" s="3" t="s">
        <v>1611</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L846" s="3"/>
      <c r="AM846" s="3"/>
      <c r="AN846" s="3"/>
      <c r="AO846" s="3"/>
      <c r="AP846" s="3"/>
      <c r="AQ846" s="3"/>
      <c r="AR846" s="3"/>
      <c r="AS846" s="3"/>
      <c r="AT846" s="3"/>
    </row>
    <row r="847" spans="1:53" s="14" customFormat="1" ht="12.9" customHeight="1">
      <c r="C847" s="2"/>
    </row>
    <row r="848" spans="1:53" s="14" customFormat="1" ht="12.9" customHeight="1">
      <c r="A848" s="2" t="s">
        <v>1225</v>
      </c>
      <c r="C848" s="2" t="s">
        <v>1612</v>
      </c>
    </row>
    <row r="849" spans="3:64" s="14" customFormat="1" ht="12.9" customHeight="1">
      <c r="BI849" s="1535"/>
      <c r="BJ849" s="1536"/>
      <c r="BK849" s="1536"/>
      <c r="BL849" s="1536"/>
    </row>
    <row r="850" spans="3:64" s="14" customFormat="1" ht="12.9" customHeight="1">
      <c r="C850" s="2" t="s">
        <v>1613</v>
      </c>
      <c r="J850" s="45" t="s">
        <v>1614</v>
      </c>
      <c r="K850" s="5"/>
      <c r="L850" s="5"/>
      <c r="M850" s="5"/>
      <c r="N850" s="5"/>
      <c r="O850" s="5"/>
      <c r="P850" s="5"/>
      <c r="Q850" s="5"/>
      <c r="R850" s="5"/>
      <c r="S850" s="5"/>
      <c r="T850" s="5"/>
      <c r="U850" s="5"/>
      <c r="V850" s="46"/>
      <c r="W850" s="1394">
        <v>2500</v>
      </c>
      <c r="X850" s="1374"/>
      <c r="Y850" s="1374"/>
      <c r="Z850" s="1374"/>
      <c r="AA850" s="1374"/>
      <c r="AB850" s="1374"/>
      <c r="AC850" s="1375"/>
      <c r="AZ850" s="30"/>
      <c r="BA850" s="30"/>
    </row>
    <row r="851" spans="3:64" s="14" customFormat="1" ht="12.9" customHeight="1">
      <c r="J851" s="45" t="s">
        <v>1615</v>
      </c>
      <c r="K851" s="5"/>
      <c r="L851" s="5"/>
      <c r="M851" s="5"/>
      <c r="N851" s="5"/>
      <c r="O851" s="5"/>
      <c r="P851" s="5"/>
      <c r="Q851" s="5"/>
      <c r="R851" s="5"/>
      <c r="S851" s="5"/>
      <c r="T851" s="5"/>
      <c r="U851" s="5"/>
      <c r="V851" s="46"/>
      <c r="W851" s="1394">
        <v>3000</v>
      </c>
      <c r="X851" s="1374"/>
      <c r="Y851" s="1374"/>
      <c r="Z851" s="1374"/>
      <c r="AA851" s="1374"/>
      <c r="AB851" s="1374"/>
      <c r="AC851" s="1375"/>
      <c r="AZ851" s="30"/>
      <c r="BA851" s="30"/>
    </row>
    <row r="852" spans="3:64" ht="12.9" customHeight="1">
      <c r="J852" s="45" t="s">
        <v>1616</v>
      </c>
      <c r="K852" s="5"/>
      <c r="L852" s="5"/>
      <c r="M852" s="5"/>
      <c r="N852" s="5"/>
      <c r="O852" s="5"/>
      <c r="P852" s="5"/>
      <c r="Q852" s="5"/>
      <c r="R852" s="5"/>
      <c r="S852" s="5"/>
      <c r="T852" s="5"/>
      <c r="U852" s="5"/>
      <c r="V852" s="46"/>
      <c r="W852" s="1394">
        <v>12000</v>
      </c>
      <c r="X852" s="1374"/>
      <c r="Y852" s="1374"/>
      <c r="Z852" s="1374"/>
      <c r="AA852" s="1374"/>
      <c r="AB852" s="1374"/>
      <c r="AC852" s="1375"/>
      <c r="AZ852" s="30"/>
      <c r="BA852" s="30"/>
      <c r="BB852" s="14"/>
      <c r="BC852" s="14"/>
      <c r="BD852" s="14"/>
      <c r="BE852" s="14"/>
      <c r="BF852" s="14"/>
      <c r="BG852" s="14"/>
      <c r="BH852" s="14"/>
      <c r="BI852" s="14"/>
      <c r="BJ852" s="14"/>
      <c r="BK852" s="14"/>
      <c r="BL852" s="14"/>
    </row>
    <row r="853" spans="3:64" ht="12.9" customHeight="1">
      <c r="J853" s="45" t="s">
        <v>1617</v>
      </c>
      <c r="K853" s="5"/>
      <c r="L853" s="5"/>
      <c r="M853" s="5"/>
      <c r="N853" s="5"/>
      <c r="O853" s="5"/>
      <c r="P853" s="5"/>
      <c r="Q853" s="5"/>
      <c r="R853" s="5"/>
      <c r="S853" s="5"/>
      <c r="T853" s="5"/>
      <c r="U853" s="5"/>
      <c r="V853" s="46"/>
      <c r="W853" s="1394">
        <v>27000</v>
      </c>
      <c r="X853" s="1374"/>
      <c r="Y853" s="1374"/>
      <c r="Z853" s="1374"/>
      <c r="AA853" s="1374"/>
      <c r="AB853" s="1374"/>
      <c r="AC853" s="1375"/>
      <c r="AZ853" s="30"/>
      <c r="BA853" s="30"/>
      <c r="BB853" s="14"/>
      <c r="BC853" s="14"/>
      <c r="BD853" s="14"/>
      <c r="BE853" s="14"/>
      <c r="BF853" s="14"/>
      <c r="BG853" s="14"/>
      <c r="BH853" s="14"/>
      <c r="BI853" s="14"/>
      <c r="BJ853" s="14"/>
      <c r="BK853" s="14"/>
      <c r="BL853" s="14"/>
    </row>
    <row r="854" spans="3:64" ht="12.9" customHeight="1">
      <c r="J854" s="45" t="s">
        <v>345</v>
      </c>
      <c r="K854" s="5"/>
      <c r="L854" s="5"/>
      <c r="M854" s="1494" t="s">
        <v>1168</v>
      </c>
      <c r="N854" s="1374"/>
      <c r="O854" s="1374"/>
      <c r="P854" s="1374"/>
      <c r="Q854" s="1374"/>
      <c r="R854" s="1374"/>
      <c r="S854" s="1374"/>
      <c r="T854" s="1374"/>
      <c r="U854" s="1374"/>
      <c r="V854" s="1375"/>
      <c r="W854" s="1394">
        <v>8010</v>
      </c>
      <c r="X854" s="1374"/>
      <c r="Y854" s="1374"/>
      <c r="Z854" s="1374"/>
      <c r="AA854" s="1374"/>
      <c r="AB854" s="1374"/>
      <c r="AC854" s="1375"/>
      <c r="AZ854" s="30"/>
      <c r="BA854" s="30"/>
      <c r="BB854" s="14"/>
      <c r="BC854" s="14"/>
      <c r="BD854" s="14"/>
      <c r="BE854" s="14"/>
      <c r="BF854" s="14"/>
      <c r="BG854" s="14"/>
      <c r="BH854" s="14"/>
      <c r="BI854" s="14"/>
      <c r="BJ854" s="14"/>
      <c r="BK854" s="14"/>
      <c r="BL854" s="14"/>
    </row>
    <row r="855" spans="3:64" ht="12.9" customHeight="1">
      <c r="J855" s="45"/>
      <c r="K855" s="5"/>
      <c r="L855" s="5"/>
      <c r="M855" s="5"/>
      <c r="N855" s="5"/>
      <c r="O855" s="5"/>
      <c r="P855" s="5"/>
      <c r="Q855" s="5"/>
      <c r="R855" s="5"/>
      <c r="S855" s="5"/>
      <c r="T855" s="5"/>
      <c r="U855" s="5"/>
      <c r="V855" s="54" t="s">
        <v>1618</v>
      </c>
      <c r="W855" s="1385">
        <f>SUM(W850:W854)</f>
        <v>52510</v>
      </c>
      <c r="X855" s="1263"/>
      <c r="Y855" s="1263"/>
      <c r="Z855" s="1263"/>
      <c r="AA855" s="1263"/>
      <c r="AB855" s="1263"/>
      <c r="AC855" s="1264"/>
      <c r="AZ855" s="30"/>
      <c r="BA855" s="30"/>
      <c r="BB855" s="14"/>
      <c r="BC855" s="14"/>
      <c r="BD855" s="14"/>
      <c r="BE855" s="14"/>
      <c r="BF855" s="14"/>
      <c r="BG855" s="14"/>
      <c r="BH855" s="14"/>
      <c r="BI855" s="14"/>
      <c r="BJ855" s="14"/>
      <c r="BK855" s="14"/>
      <c r="BL855" s="14"/>
    </row>
    <row r="856" spans="3:64" ht="12.9" customHeight="1">
      <c r="AZ856" s="30"/>
      <c r="BA856" s="30"/>
      <c r="BB856" s="14"/>
      <c r="BC856" s="14"/>
      <c r="BD856" s="14"/>
      <c r="BE856" s="14"/>
      <c r="BF856" s="14"/>
      <c r="BG856" s="1486"/>
      <c r="BH856" s="1298"/>
      <c r="BI856" s="1298"/>
      <c r="BJ856" s="1298"/>
      <c r="BK856" s="1298"/>
      <c r="BL856" s="1298"/>
    </row>
    <row r="857" spans="3:64" ht="12.9" customHeight="1">
      <c r="C857" s="2" t="s">
        <v>1619</v>
      </c>
      <c r="J857" s="1498" t="s">
        <v>1620</v>
      </c>
      <c r="K857" s="1263"/>
      <c r="L857" s="1263"/>
      <c r="M857" s="1263"/>
      <c r="N857" s="1263"/>
      <c r="O857" s="1263"/>
      <c r="P857" s="1263"/>
      <c r="Q857" s="1263"/>
      <c r="R857" s="1263"/>
      <c r="S857" s="1263"/>
      <c r="T857" s="1263"/>
      <c r="U857" s="1263"/>
      <c r="V857" s="1264"/>
      <c r="W857" s="1394">
        <v>48289</v>
      </c>
      <c r="X857" s="1374"/>
      <c r="Y857" s="1374"/>
      <c r="Z857" s="1374"/>
      <c r="AA857" s="1374"/>
      <c r="AB857" s="1374"/>
      <c r="AC857" s="1375"/>
      <c r="AD857" s="533"/>
      <c r="AZ857" s="30"/>
      <c r="BA857" s="30"/>
      <c r="BB857" s="14"/>
      <c r="BC857" s="14"/>
    </row>
    <row r="858" spans="3:64" ht="12.9" customHeight="1">
      <c r="AD858" s="533"/>
      <c r="AZ858" s="30"/>
      <c r="BA858" s="30"/>
      <c r="BB858" s="14"/>
      <c r="BC858" s="14"/>
    </row>
    <row r="859" spans="3:64" ht="12.9" customHeight="1">
      <c r="C859" s="2" t="s">
        <v>342</v>
      </c>
      <c r="J859" s="45" t="s">
        <v>1621</v>
      </c>
      <c r="K859" s="5"/>
      <c r="L859" s="5"/>
      <c r="M859" s="5"/>
      <c r="N859" s="5"/>
      <c r="O859" s="5"/>
      <c r="P859" s="5"/>
      <c r="Q859" s="5"/>
      <c r="R859" s="5"/>
      <c r="S859" s="5"/>
      <c r="T859" s="5"/>
      <c r="U859" s="5"/>
      <c r="V859" s="46"/>
      <c r="W859" s="1467"/>
      <c r="X859" s="1374"/>
      <c r="Y859" s="1374"/>
      <c r="Z859" s="1374"/>
      <c r="AA859" s="1374"/>
      <c r="AB859" s="1374"/>
      <c r="AC859" s="1375"/>
      <c r="AZ859" s="1492"/>
      <c r="BA859" s="1298"/>
      <c r="BB859" s="14"/>
      <c r="BC859" s="14"/>
    </row>
    <row r="860" spans="3:64" ht="12.9" customHeight="1">
      <c r="J860" s="45" t="s">
        <v>1622</v>
      </c>
      <c r="K860" s="5"/>
      <c r="L860" s="5"/>
      <c r="M860" s="5"/>
      <c r="N860" s="5"/>
      <c r="O860" s="5"/>
      <c r="P860" s="5"/>
      <c r="Q860" s="5"/>
      <c r="R860" s="5"/>
      <c r="S860" s="5"/>
      <c r="T860" s="5"/>
      <c r="U860" s="5"/>
      <c r="V860" s="46"/>
      <c r="W860" s="1467">
        <v>30000</v>
      </c>
      <c r="X860" s="1374"/>
      <c r="Y860" s="1374"/>
      <c r="Z860" s="1374"/>
      <c r="AA860" s="1374"/>
      <c r="AB860" s="1374"/>
      <c r="AC860" s="1375"/>
      <c r="AZ860" s="30"/>
      <c r="BA860" s="30"/>
      <c r="BB860" s="14"/>
      <c r="BC860" s="14"/>
    </row>
    <row r="861" spans="3:64" ht="12.9" customHeight="1">
      <c r="J861" s="45" t="s">
        <v>1606</v>
      </c>
      <c r="K861" s="5"/>
      <c r="L861" s="5"/>
      <c r="M861" s="5"/>
      <c r="N861" s="5"/>
      <c r="O861" s="5"/>
      <c r="P861" s="5"/>
      <c r="Q861" s="5"/>
      <c r="R861" s="5"/>
      <c r="S861" s="5"/>
      <c r="T861" s="5"/>
      <c r="U861" s="5"/>
      <c r="V861" s="46"/>
      <c r="W861" s="1467">
        <v>30000</v>
      </c>
      <c r="X861" s="1374"/>
      <c r="Y861" s="1374"/>
      <c r="Z861" s="1374"/>
      <c r="AA861" s="1374"/>
      <c r="AB861" s="1374"/>
      <c r="AC861" s="1375"/>
      <c r="AZ861" s="30"/>
      <c r="BA861" s="30"/>
      <c r="BB861" s="14"/>
      <c r="BC861" s="14"/>
    </row>
    <row r="862" spans="3:64" ht="12.9" customHeight="1">
      <c r="J862" s="62" t="s">
        <v>1623</v>
      </c>
      <c r="K862" s="5"/>
      <c r="L862" s="5"/>
      <c r="M862" s="5"/>
      <c r="N862" s="5"/>
      <c r="O862" s="5"/>
      <c r="P862" s="5"/>
      <c r="Q862" s="5"/>
      <c r="R862" s="5"/>
      <c r="S862" s="5"/>
      <c r="T862" s="5"/>
      <c r="U862" s="5"/>
      <c r="V862" s="46"/>
      <c r="W862" s="1467">
        <v>40000</v>
      </c>
      <c r="X862" s="1374"/>
      <c r="Y862" s="1374"/>
      <c r="Z862" s="1374"/>
      <c r="AA862" s="1374"/>
      <c r="AB862" s="1374"/>
      <c r="AC862" s="1375"/>
      <c r="AZ862" s="34"/>
      <c r="BA862" s="34"/>
      <c r="BB862" s="34"/>
      <c r="BC862" s="34"/>
    </row>
    <row r="863" spans="3:64" ht="12.9" customHeight="1">
      <c r="J863" s="63"/>
      <c r="K863" s="48"/>
      <c r="L863" s="48"/>
      <c r="M863" s="48"/>
      <c r="N863" s="48"/>
      <c r="O863" s="48"/>
      <c r="P863" s="48"/>
      <c r="Q863" s="48"/>
      <c r="R863" s="48"/>
      <c r="S863" s="48"/>
      <c r="T863" s="48"/>
      <c r="U863" s="48"/>
      <c r="V863" s="54" t="s">
        <v>1624</v>
      </c>
      <c r="W863" s="1599">
        <f>SUM(W859:W862)</f>
        <v>100000</v>
      </c>
      <c r="X863" s="1263"/>
      <c r="Y863" s="1263"/>
      <c r="Z863" s="1263"/>
      <c r="AA863" s="1263"/>
      <c r="AB863" s="1263"/>
      <c r="AC863" s="1264"/>
      <c r="AZ863" s="34"/>
      <c r="BA863" s="34"/>
      <c r="BB863" s="34"/>
      <c r="BC863" s="34"/>
    </row>
    <row r="864" spans="3:64" ht="12.9" customHeight="1">
      <c r="AZ864" s="34"/>
      <c r="BA864" s="34"/>
      <c r="BB864" s="34"/>
      <c r="BC864" s="34"/>
    </row>
    <row r="865" spans="3:55" ht="12.9" customHeight="1">
      <c r="C865" s="2" t="s">
        <v>1625</v>
      </c>
      <c r="J865" s="45" t="s">
        <v>1626</v>
      </c>
      <c r="K865" s="5"/>
      <c r="L865" s="5"/>
      <c r="M865" s="5"/>
      <c r="N865" s="5"/>
      <c r="O865" s="5"/>
      <c r="P865" s="5"/>
      <c r="Q865" s="5"/>
      <c r="R865" s="5"/>
      <c r="S865" s="5"/>
      <c r="T865" s="5"/>
      <c r="U865" s="5"/>
      <c r="V865" s="46"/>
      <c r="W865" s="1467">
        <v>120900</v>
      </c>
      <c r="X865" s="1374"/>
      <c r="Y865" s="1374"/>
      <c r="Z865" s="1374"/>
      <c r="AA865" s="1374"/>
      <c r="AB865" s="1374"/>
      <c r="AC865" s="1375"/>
      <c r="AD865" s="528"/>
      <c r="AZ865" s="34"/>
      <c r="BA865" s="34"/>
      <c r="BB865" s="34"/>
      <c r="BC865" s="34"/>
    </row>
    <row r="866" spans="3:55" ht="12.9" customHeight="1">
      <c r="C866" s="2" t="s">
        <v>1627</v>
      </c>
      <c r="J866" s="121" t="s">
        <v>1628</v>
      </c>
      <c r="K866" s="5"/>
      <c r="L866" s="5"/>
      <c r="M866" s="5"/>
      <c r="N866" s="5"/>
      <c r="O866" s="5"/>
      <c r="P866" s="5"/>
      <c r="Q866" s="5"/>
      <c r="R866" s="5"/>
      <c r="S866" s="5"/>
      <c r="T866" s="1531">
        <v>2</v>
      </c>
      <c r="U866" s="1374"/>
      <c r="V866" s="1375"/>
      <c r="W866" s="870"/>
      <c r="X866" s="871"/>
      <c r="Y866" s="871"/>
      <c r="Z866" s="871"/>
      <c r="AA866" s="871"/>
      <c r="AB866" s="871"/>
      <c r="AC866" s="872"/>
      <c r="AD866" s="528"/>
      <c r="AZ866" s="34"/>
      <c r="BA866" s="34"/>
      <c r="BB866" s="34"/>
      <c r="BC866" s="34"/>
    </row>
    <row r="867" spans="3:55" ht="12.9" customHeight="1">
      <c r="C867" s="2"/>
      <c r="J867" s="45" t="s">
        <v>1629</v>
      </c>
      <c r="K867" s="5"/>
      <c r="L867" s="5"/>
      <c r="M867" s="5"/>
      <c r="N867" s="5"/>
      <c r="O867" s="5"/>
      <c r="P867" s="5"/>
      <c r="Q867" s="5"/>
      <c r="R867" s="5"/>
      <c r="S867" s="5"/>
      <c r="T867" s="5"/>
      <c r="U867" s="5"/>
      <c r="V867" s="46"/>
      <c r="W867" s="1467">
        <v>72800</v>
      </c>
      <c r="X867" s="1374"/>
      <c r="Y867" s="1374"/>
      <c r="Z867" s="1374"/>
      <c r="AA867" s="1374"/>
      <c r="AB867" s="1374"/>
      <c r="AC867" s="1375"/>
      <c r="AD867" s="533"/>
      <c r="AZ867" s="34"/>
      <c r="BA867" s="34"/>
      <c r="BB867" s="34"/>
      <c r="BC867" s="34"/>
    </row>
    <row r="868" spans="3:55" ht="12.9" customHeight="1">
      <c r="C868" s="2"/>
      <c r="J868" s="121" t="s">
        <v>1630</v>
      </c>
      <c r="K868" s="5"/>
      <c r="L868" s="5"/>
      <c r="M868" s="5"/>
      <c r="N868" s="5"/>
      <c r="O868" s="5"/>
      <c r="P868" s="5"/>
      <c r="Q868" s="5"/>
      <c r="R868" s="5"/>
      <c r="S868" s="5"/>
      <c r="T868" s="1531">
        <v>2</v>
      </c>
      <c r="U868" s="1374"/>
      <c r="V868" s="1375"/>
      <c r="W868" s="870"/>
      <c r="X868" s="871"/>
      <c r="Y868" s="871"/>
      <c r="Z868" s="871"/>
      <c r="AA868" s="871"/>
      <c r="AB868" s="871"/>
      <c r="AC868" s="872"/>
      <c r="AD868" s="533"/>
      <c r="AZ868" s="34"/>
      <c r="BA868" s="34"/>
      <c r="BB868" s="34"/>
      <c r="BC868" s="34"/>
    </row>
    <row r="869" spans="3:55" ht="12.9" customHeight="1">
      <c r="J869" s="45" t="s">
        <v>345</v>
      </c>
      <c r="K869" s="5"/>
      <c r="L869" s="5"/>
      <c r="M869" s="1494" t="s">
        <v>1353</v>
      </c>
      <c r="N869" s="1374"/>
      <c r="O869" s="1374"/>
      <c r="P869" s="1374"/>
      <c r="Q869" s="1374"/>
      <c r="R869" s="1374"/>
      <c r="S869" s="1374"/>
      <c r="T869" s="1374"/>
      <c r="U869" s="1374"/>
      <c r="V869" s="1375"/>
      <c r="W869" s="1467"/>
      <c r="X869" s="1374"/>
      <c r="Y869" s="1374"/>
      <c r="Z869" s="1374"/>
      <c r="AA869" s="1374"/>
      <c r="AB869" s="1374"/>
      <c r="AC869" s="1375"/>
      <c r="AD869" s="528"/>
      <c r="AU869" s="14"/>
      <c r="AZ869" s="34"/>
      <c r="BA869" s="34"/>
      <c r="BB869" s="34"/>
      <c r="BC869" s="34"/>
    </row>
    <row r="870" spans="3:55" ht="12.9" customHeight="1">
      <c r="J870" s="45"/>
      <c r="K870" s="5"/>
      <c r="L870" s="5"/>
      <c r="M870" s="5"/>
      <c r="N870" s="5"/>
      <c r="O870" s="5"/>
      <c r="P870" s="5"/>
      <c r="Q870" s="5"/>
      <c r="R870" s="5"/>
      <c r="S870" s="5"/>
      <c r="T870" s="5"/>
      <c r="U870" s="5"/>
      <c r="V870" s="54" t="s">
        <v>1631</v>
      </c>
      <c r="W870" s="1599">
        <f>SUM(W865:W869)</f>
        <v>193700</v>
      </c>
      <c r="X870" s="1263"/>
      <c r="Y870" s="1263"/>
      <c r="Z870" s="1263"/>
      <c r="AA870" s="1263"/>
      <c r="AB870" s="1263"/>
      <c r="AC870" s="1264"/>
      <c r="AD870" s="533"/>
      <c r="AU870" s="14"/>
      <c r="AZ870" s="34"/>
      <c r="BA870" s="34"/>
      <c r="BB870" s="34"/>
      <c r="BC870" s="34"/>
    </row>
    <row r="871" spans="3:55" ht="12.9" customHeight="1">
      <c r="V871" t="s">
        <v>1632</v>
      </c>
      <c r="W871">
        <v>160000</v>
      </c>
      <c r="AU871" s="14"/>
      <c r="AZ871" s="34"/>
      <c r="BA871" s="34"/>
      <c r="BB871" s="34"/>
      <c r="BC871" s="34"/>
    </row>
    <row r="872" spans="3:55" ht="12.9" customHeight="1">
      <c r="C872" s="2" t="s">
        <v>1633</v>
      </c>
      <c r="J872" s="45"/>
      <c r="K872" s="5"/>
      <c r="L872" s="5"/>
      <c r="M872" s="5"/>
      <c r="N872" s="5"/>
      <c r="O872" s="5"/>
      <c r="P872" s="5"/>
      <c r="Q872" s="5"/>
      <c r="R872" s="5"/>
      <c r="S872" s="5"/>
      <c r="T872" s="5"/>
      <c r="U872" s="5"/>
      <c r="V872" s="54" t="s">
        <v>1632</v>
      </c>
      <c r="W872" s="1467">
        <v>120000</v>
      </c>
      <c r="X872" s="1374"/>
      <c r="Y872" s="1374"/>
      <c r="Z872" s="1374"/>
      <c r="AA872" s="1374"/>
      <c r="AB872" s="1374"/>
      <c r="AC872" s="1375"/>
      <c r="AU872" s="14"/>
      <c r="AZ872" s="34"/>
      <c r="BA872" s="34"/>
      <c r="BB872" s="34"/>
      <c r="BC872" s="34"/>
    </row>
    <row r="873" spans="3:55" ht="12.9" customHeight="1">
      <c r="J873" s="512"/>
      <c r="AU873" s="14"/>
      <c r="AZ873" s="34"/>
      <c r="BA873" s="34"/>
      <c r="BB873" s="34"/>
      <c r="BC873" s="34"/>
    </row>
    <row r="874" spans="3:55" ht="12.9" customHeight="1">
      <c r="C874" s="2" t="s">
        <v>344</v>
      </c>
      <c r="J874" s="45" t="s">
        <v>1634</v>
      </c>
      <c r="K874" s="5"/>
      <c r="L874" s="5"/>
      <c r="M874" s="5"/>
      <c r="N874" s="5"/>
      <c r="O874" s="5"/>
      <c r="P874" s="5"/>
      <c r="Q874" s="5"/>
      <c r="R874" s="5"/>
      <c r="S874" s="5"/>
      <c r="T874" s="5"/>
      <c r="U874" s="5"/>
      <c r="V874" s="46"/>
      <c r="W874" s="1394">
        <v>3116</v>
      </c>
      <c r="X874" s="1374"/>
      <c r="Y874" s="1374"/>
      <c r="Z874" s="1374"/>
      <c r="AA874" s="1374"/>
      <c r="AB874" s="1374"/>
      <c r="AC874" s="1375"/>
      <c r="AU874" s="14"/>
      <c r="AZ874" s="34"/>
      <c r="BA874" s="34"/>
      <c r="BB874" s="34"/>
      <c r="BC874" s="34"/>
    </row>
    <row r="875" spans="3:55" ht="12.9" customHeight="1">
      <c r="J875" s="45" t="s">
        <v>1635</v>
      </c>
      <c r="K875" s="5"/>
      <c r="L875" s="5"/>
      <c r="M875" s="5"/>
      <c r="N875" s="5"/>
      <c r="O875" s="5"/>
      <c r="P875" s="5"/>
      <c r="Q875" s="5"/>
      <c r="R875" s="5"/>
      <c r="S875" s="5"/>
      <c r="T875" s="5"/>
      <c r="U875" s="5"/>
      <c r="V875" s="46"/>
      <c r="W875" s="1394">
        <v>42000</v>
      </c>
      <c r="X875" s="1374"/>
      <c r="Y875" s="1374"/>
      <c r="Z875" s="1374"/>
      <c r="AA875" s="1374"/>
      <c r="AB875" s="1374"/>
      <c r="AC875" s="1375"/>
      <c r="AU875" s="4"/>
      <c r="AZ875" s="34"/>
      <c r="BA875" s="34"/>
      <c r="BB875" s="34"/>
      <c r="BC875" s="34"/>
    </row>
    <row r="876" spans="3:55" ht="12.9" customHeight="1">
      <c r="J876" s="45" t="s">
        <v>1636</v>
      </c>
      <c r="K876" s="5"/>
      <c r="L876" s="5"/>
      <c r="M876" s="5"/>
      <c r="N876" s="5"/>
      <c r="O876" s="5"/>
      <c r="P876" s="5"/>
      <c r="Q876" s="5"/>
      <c r="R876" s="5"/>
      <c r="S876" s="5"/>
      <c r="T876" s="5"/>
      <c r="U876" s="5"/>
      <c r="V876" s="46"/>
      <c r="W876" s="1394">
        <v>15000</v>
      </c>
      <c r="X876" s="1374"/>
      <c r="Y876" s="1374"/>
      <c r="Z876" s="1374"/>
      <c r="AA876" s="1374"/>
      <c r="AB876" s="1374"/>
      <c r="AC876" s="1375"/>
      <c r="AU876" s="4"/>
      <c r="AZ876" s="34"/>
      <c r="BA876" s="34"/>
      <c r="BB876" s="34"/>
      <c r="BC876" s="34"/>
    </row>
    <row r="877" spans="3:55" ht="12.9" customHeight="1">
      <c r="J877" s="45" t="s">
        <v>1637</v>
      </c>
      <c r="K877" s="5"/>
      <c r="L877" s="5"/>
      <c r="M877" s="5"/>
      <c r="N877" s="5"/>
      <c r="O877" s="5"/>
      <c r="P877" s="5"/>
      <c r="Q877" s="5"/>
      <c r="R877" s="5"/>
      <c r="S877" s="5"/>
      <c r="T877" s="5"/>
      <c r="U877" s="5"/>
      <c r="V877" s="46"/>
      <c r="W877" s="1394">
        <v>9000</v>
      </c>
      <c r="X877" s="1374"/>
      <c r="Y877" s="1374"/>
      <c r="Z877" s="1374"/>
      <c r="AA877" s="1374"/>
      <c r="AB877" s="1374"/>
      <c r="AC877" s="1375"/>
      <c r="AU877" s="4"/>
      <c r="AZ877" s="34"/>
      <c r="BA877" s="34"/>
      <c r="BB877" s="34"/>
      <c r="BC877" s="34"/>
    </row>
    <row r="878" spans="3:55" ht="12.9" customHeight="1">
      <c r="J878" s="45" t="s">
        <v>1638</v>
      </c>
      <c r="K878" s="5"/>
      <c r="L878" s="5"/>
      <c r="M878" s="5"/>
      <c r="N878" s="5"/>
      <c r="O878" s="5"/>
      <c r="P878" s="5"/>
      <c r="Q878" s="5"/>
      <c r="R878" s="5"/>
      <c r="S878" s="5"/>
      <c r="T878" s="5"/>
      <c r="U878" s="5"/>
      <c r="V878" s="46"/>
      <c r="W878" s="1394">
        <v>2500</v>
      </c>
      <c r="X878" s="1374"/>
      <c r="Y878" s="1374"/>
      <c r="Z878" s="1374"/>
      <c r="AA878" s="1374"/>
      <c r="AB878" s="1374"/>
      <c r="AC878" s="1375"/>
      <c r="AU878" s="4"/>
      <c r="AZ878" s="34"/>
      <c r="BA878" s="34"/>
      <c r="BB878" s="34"/>
      <c r="BC878" s="34"/>
    </row>
    <row r="879" spans="3:55" ht="12.9" customHeight="1">
      <c r="J879" s="45" t="s">
        <v>1639</v>
      </c>
      <c r="K879" s="5"/>
      <c r="L879" s="5"/>
      <c r="M879" s="5"/>
      <c r="N879" s="5"/>
      <c r="O879" s="5"/>
      <c r="P879" s="5"/>
      <c r="Q879" s="5"/>
      <c r="R879" s="5"/>
      <c r="S879" s="5"/>
      <c r="T879" s="5"/>
      <c r="U879" s="5"/>
      <c r="V879" s="46"/>
      <c r="W879" s="1394">
        <v>10000</v>
      </c>
      <c r="X879" s="1374"/>
      <c r="Y879" s="1374"/>
      <c r="Z879" s="1374"/>
      <c r="AA879" s="1374"/>
      <c r="AB879" s="1374"/>
      <c r="AC879" s="1375"/>
      <c r="AU879" s="4"/>
      <c r="AZ879" s="34"/>
      <c r="BA879" s="34"/>
      <c r="BB879" s="34"/>
      <c r="BC879" s="34"/>
    </row>
    <row r="880" spans="3:55" ht="12.9" customHeight="1">
      <c r="J880" s="45" t="s">
        <v>345</v>
      </c>
      <c r="K880" s="5"/>
      <c r="L880" s="5"/>
      <c r="M880" s="1494" t="s">
        <v>1168</v>
      </c>
      <c r="N880" s="1374"/>
      <c r="O880" s="1374"/>
      <c r="P880" s="1374"/>
      <c r="Q880" s="1374"/>
      <c r="R880" s="1374"/>
      <c r="S880" s="1374"/>
      <c r="T880" s="1374"/>
      <c r="U880" s="1374"/>
      <c r="V880" s="1375"/>
      <c r="W880" s="1394">
        <f>14001-7000-446</f>
        <v>6555</v>
      </c>
      <c r="X880" s="1374"/>
      <c r="Y880" s="1374"/>
      <c r="Z880" s="1374"/>
      <c r="AA880" s="1374"/>
      <c r="AB880" s="1374"/>
      <c r="AC880" s="1375"/>
      <c r="AD880" s="533"/>
      <c r="AU880" s="4"/>
      <c r="AV880" s="14"/>
      <c r="AW880" s="14"/>
      <c r="AX880" s="14"/>
      <c r="AY880" s="14"/>
      <c r="AZ880" s="34"/>
      <c r="BA880" s="34"/>
      <c r="BB880" s="34"/>
      <c r="BC880" s="34"/>
    </row>
    <row r="881" spans="3:55" ht="12.9" customHeight="1">
      <c r="J881" s="45"/>
      <c r="K881" s="5"/>
      <c r="L881" s="5"/>
      <c r="M881" s="5"/>
      <c r="N881" s="5"/>
      <c r="O881" s="5"/>
      <c r="P881" s="5"/>
      <c r="Q881" s="5"/>
      <c r="R881" s="5"/>
      <c r="S881" s="5"/>
      <c r="T881" s="5"/>
      <c r="U881" s="5"/>
      <c r="V881" s="54" t="s">
        <v>1640</v>
      </c>
      <c r="W881" s="1385">
        <f>SUM(W874:W880)</f>
        <v>88171</v>
      </c>
      <c r="X881" s="1263"/>
      <c r="Y881" s="1263"/>
      <c r="Z881" s="1263"/>
      <c r="AA881" s="1263"/>
      <c r="AB881" s="1263"/>
      <c r="AC881" s="1264"/>
      <c r="AU881" s="4"/>
      <c r="AV881" s="14"/>
      <c r="AW881" s="14"/>
      <c r="AX881" s="14"/>
      <c r="AY881" s="14"/>
      <c r="AZ881" s="34"/>
      <c r="BA881" s="34"/>
      <c r="BB881" s="34"/>
      <c r="BC881" s="34"/>
    </row>
    <row r="882" spans="3:55" ht="12.9" customHeight="1">
      <c r="AU882" s="4"/>
      <c r="AV882" s="14"/>
      <c r="AW882" s="14"/>
      <c r="AX882" s="14"/>
      <c r="AY882" s="14"/>
      <c r="AZ882" s="34"/>
      <c r="BA882" s="34"/>
      <c r="BB882" s="34"/>
      <c r="BC882" s="34"/>
    </row>
    <row r="883" spans="3:55" ht="12.9" customHeight="1">
      <c r="C883" s="2" t="s">
        <v>1641</v>
      </c>
      <c r="J883" s="45" t="s">
        <v>345</v>
      </c>
      <c r="K883" s="5"/>
      <c r="L883" s="5"/>
      <c r="M883" s="1494" t="s">
        <v>1353</v>
      </c>
      <c r="N883" s="1374"/>
      <c r="O883" s="1374"/>
      <c r="P883" s="1374"/>
      <c r="Q883" s="1374"/>
      <c r="R883" s="1374"/>
      <c r="S883" s="1374"/>
      <c r="T883" s="1374"/>
      <c r="U883" s="1374"/>
      <c r="V883" s="1375"/>
      <c r="W883" s="1394"/>
      <c r="X883" s="1374"/>
      <c r="Y883" s="1374"/>
      <c r="Z883" s="1374"/>
      <c r="AA883" s="1374"/>
      <c r="AB883" s="1374"/>
      <c r="AC883" s="1375"/>
      <c r="AD883" s="533"/>
      <c r="AV883" s="14"/>
      <c r="AW883" s="14"/>
      <c r="AX883" s="14"/>
      <c r="AY883" s="14"/>
      <c r="AZ883" s="34"/>
      <c r="BA883" s="34"/>
      <c r="BB883" s="34"/>
      <c r="BC883" s="34"/>
    </row>
    <row r="884" spans="3:55" ht="12.9" customHeight="1">
      <c r="C884" s="2" t="s">
        <v>1642</v>
      </c>
      <c r="J884" s="45" t="s">
        <v>345</v>
      </c>
      <c r="K884" s="5"/>
      <c r="L884" s="5"/>
      <c r="M884" s="1494" t="s">
        <v>1353</v>
      </c>
      <c r="N884" s="1374"/>
      <c r="O884" s="1374"/>
      <c r="P884" s="1374"/>
      <c r="Q884" s="1374"/>
      <c r="R884" s="1374"/>
      <c r="S884" s="1374"/>
      <c r="T884" s="1374"/>
      <c r="U884" s="1374"/>
      <c r="V884" s="1375"/>
      <c r="W884" s="1394"/>
      <c r="X884" s="1374"/>
      <c r="Y884" s="1374"/>
      <c r="Z884" s="1374"/>
      <c r="AA884" s="1374"/>
      <c r="AB884" s="1374"/>
      <c r="AC884" s="1375"/>
      <c r="AD884" s="533"/>
      <c r="AV884" s="14"/>
      <c r="AW884" s="14"/>
      <c r="AX884" s="14"/>
      <c r="AY884" s="14"/>
      <c r="AZ884" s="34"/>
      <c r="BA884" s="34"/>
      <c r="BB884" s="34"/>
      <c r="BC884" s="34"/>
    </row>
    <row r="885" spans="3:55" ht="12.9" customHeight="1">
      <c r="J885" s="45" t="s">
        <v>345</v>
      </c>
      <c r="K885" s="5"/>
      <c r="L885" s="5"/>
      <c r="M885" s="1494" t="s">
        <v>1353</v>
      </c>
      <c r="N885" s="1374"/>
      <c r="O885" s="1374"/>
      <c r="P885" s="1374"/>
      <c r="Q885" s="1374"/>
      <c r="R885" s="1374"/>
      <c r="S885" s="1374"/>
      <c r="T885" s="1374"/>
      <c r="U885" s="1374"/>
      <c r="V885" s="1375"/>
      <c r="W885" s="1394"/>
      <c r="X885" s="1374"/>
      <c r="Y885" s="1374"/>
      <c r="Z885" s="1374"/>
      <c r="AA885" s="1374"/>
      <c r="AB885" s="1374"/>
      <c r="AC885" s="1375"/>
      <c r="AL885" s="14"/>
      <c r="AM885" s="14"/>
      <c r="AN885" s="14"/>
      <c r="AO885" s="14"/>
      <c r="AP885" s="14"/>
      <c r="AQ885" s="14"/>
      <c r="AR885" s="14"/>
      <c r="AS885" s="14"/>
      <c r="AT885" s="14"/>
      <c r="AV885" s="4"/>
      <c r="AW885" s="4"/>
      <c r="AX885" s="4"/>
      <c r="AY885" s="4"/>
      <c r="AZ885" s="34"/>
      <c r="BA885" s="34"/>
      <c r="BB885" s="34"/>
      <c r="BC885" s="34"/>
    </row>
    <row r="886" spans="3:55" ht="12.9" customHeight="1">
      <c r="J886" s="45" t="s">
        <v>345</v>
      </c>
      <c r="K886" s="5"/>
      <c r="L886" s="5"/>
      <c r="M886" s="1494" t="s">
        <v>1353</v>
      </c>
      <c r="N886" s="1374"/>
      <c r="O886" s="1374"/>
      <c r="P886" s="1374"/>
      <c r="Q886" s="1374"/>
      <c r="R886" s="1374"/>
      <c r="S886" s="1374"/>
      <c r="T886" s="1374"/>
      <c r="U886" s="1374"/>
      <c r="V886" s="1375"/>
      <c r="W886" s="1394"/>
      <c r="X886" s="1374"/>
      <c r="Y886" s="1374"/>
      <c r="Z886" s="1374"/>
      <c r="AA886" s="1374"/>
      <c r="AB886" s="1374"/>
      <c r="AC886" s="1375"/>
      <c r="AL886" s="14"/>
      <c r="AM886" s="14"/>
      <c r="AN886" s="14"/>
      <c r="AO886" s="14"/>
      <c r="AP886" s="14"/>
      <c r="AQ886" s="14"/>
      <c r="AR886" s="14"/>
      <c r="AS886" s="14"/>
      <c r="AT886" s="14"/>
      <c r="AV886" s="4"/>
      <c r="AW886" s="4"/>
      <c r="AX886" s="4"/>
      <c r="AY886" s="4"/>
      <c r="AZ886" s="34"/>
      <c r="BA886" s="34"/>
      <c r="BB886" s="34"/>
      <c r="BC886" s="34"/>
    </row>
    <row r="887" spans="3:55" ht="12.9" customHeight="1">
      <c r="J887" s="45" t="s">
        <v>345</v>
      </c>
      <c r="K887" s="5"/>
      <c r="L887" s="5"/>
      <c r="M887" s="1494" t="s">
        <v>1353</v>
      </c>
      <c r="N887" s="1374"/>
      <c r="O887" s="1374"/>
      <c r="P887" s="1374"/>
      <c r="Q887" s="1374"/>
      <c r="R887" s="1374"/>
      <c r="S887" s="1374"/>
      <c r="T887" s="1374"/>
      <c r="U887" s="1374"/>
      <c r="V887" s="1375"/>
      <c r="W887" s="1394"/>
      <c r="X887" s="1374"/>
      <c r="Y887" s="1374"/>
      <c r="Z887" s="1374"/>
      <c r="AA887" s="1374"/>
      <c r="AB887" s="1374"/>
      <c r="AC887" s="1375"/>
      <c r="AL887" s="14"/>
      <c r="AM887" s="14"/>
      <c r="AN887" s="14"/>
      <c r="AO887" s="14"/>
      <c r="AP887" s="14"/>
      <c r="AQ887" s="14"/>
      <c r="AR887" s="14"/>
      <c r="AS887" s="14"/>
      <c r="AT887" s="14"/>
      <c r="AV887" s="4"/>
      <c r="AW887" s="4"/>
      <c r="AX887" s="4"/>
      <c r="AY887" s="4"/>
      <c r="AZ887" s="34"/>
      <c r="BA887" s="34"/>
      <c r="BB887" s="34"/>
      <c r="BC887" s="34"/>
    </row>
    <row r="888" spans="3:55" ht="12.9" customHeight="1">
      <c r="J888" s="45"/>
      <c r="K888" s="5"/>
      <c r="L888" s="5"/>
      <c r="M888" s="5"/>
      <c r="N888" s="5"/>
      <c r="O888" s="5"/>
      <c r="P888" s="5"/>
      <c r="Q888" s="5"/>
      <c r="R888" s="5"/>
      <c r="S888" s="5"/>
      <c r="T888" s="5"/>
      <c r="U888" s="5"/>
      <c r="V888" s="54" t="s">
        <v>1643</v>
      </c>
      <c r="W888" s="1385">
        <f>SUM(W883:W887)</f>
        <v>0</v>
      </c>
      <c r="X888" s="1263"/>
      <c r="Y888" s="1263"/>
      <c r="Z888" s="1263"/>
      <c r="AA888" s="1263"/>
      <c r="AB888" s="1263"/>
      <c r="AC888" s="1264"/>
      <c r="AL888" s="14"/>
      <c r="AM888" s="14"/>
      <c r="AN888" s="14"/>
      <c r="AO888" s="14"/>
      <c r="AP888" s="14"/>
      <c r="AQ888" s="14"/>
      <c r="AR888" s="14"/>
      <c r="AS888" s="14"/>
      <c r="AT888" s="14"/>
      <c r="AV888" s="4"/>
      <c r="AW888" s="4"/>
      <c r="AX888" s="4"/>
      <c r="AY888" s="4"/>
      <c r="AZ888" s="34"/>
      <c r="BA888" s="34"/>
      <c r="BB888" s="34"/>
      <c r="BC888" s="34"/>
    </row>
    <row r="889" spans="3:55" ht="12.9"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 customHeight="1">
      <c r="C890" s="2" t="s">
        <v>1644</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1645</v>
      </c>
      <c r="AC892" s="1641">
        <f>W855+W863+W870+W872+W881+W888+W857</f>
        <v>602670</v>
      </c>
      <c r="AD892" s="1263"/>
      <c r="AE892" s="1263"/>
      <c r="AF892" s="1263"/>
      <c r="AG892" s="1263"/>
      <c r="AH892" s="1264"/>
      <c r="AL892" s="4"/>
      <c r="AM892" s="4"/>
      <c r="AN892" s="4"/>
      <c r="AO892" s="4"/>
      <c r="AP892" s="4"/>
      <c r="AQ892" s="4"/>
      <c r="AR892" s="4"/>
      <c r="AS892" s="4"/>
      <c r="AT892" s="4"/>
      <c r="AV892" s="4"/>
      <c r="AW892" s="4"/>
      <c r="AX892" s="4"/>
      <c r="AY892" s="4"/>
      <c r="AZ892" s="34"/>
      <c r="BA892" s="34"/>
      <c r="BB892" s="34"/>
      <c r="BC892" s="34"/>
    </row>
    <row r="893" spans="3:55" ht="12.9"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1646</v>
      </c>
      <c r="AC893" s="1548">
        <f>O805+O785+G761</f>
        <v>66</v>
      </c>
      <c r="AD893" s="1263"/>
      <c r="AE893" s="1263"/>
      <c r="AF893" s="1263"/>
      <c r="AG893" s="1263"/>
      <c r="AH893" s="1264"/>
      <c r="AL893" s="4"/>
      <c r="AM893" s="4"/>
      <c r="AN893" s="4"/>
      <c r="AO893" s="4"/>
      <c r="AP893" s="4"/>
      <c r="AQ893" s="4"/>
      <c r="AR893" s="4"/>
      <c r="AS893" s="4"/>
      <c r="AT893" s="4"/>
      <c r="AZ893" s="34"/>
      <c r="BA893" s="34"/>
      <c r="BB893" s="34"/>
      <c r="BC893" s="34"/>
    </row>
    <row r="894" spans="3:55" ht="12.9" customHeight="1">
      <c r="C894" s="41"/>
      <c r="D894" s="42"/>
      <c r="E894" s="1576" t="s">
        <v>1647</v>
      </c>
      <c r="F894" s="1417"/>
      <c r="G894" s="1417"/>
      <c r="H894" s="1417"/>
      <c r="I894" s="1417"/>
      <c r="J894" s="1417"/>
      <c r="K894" s="1417"/>
      <c r="L894" s="1417"/>
      <c r="M894" s="1417"/>
      <c r="N894" s="1417"/>
      <c r="O894" s="1417"/>
      <c r="P894" s="1417"/>
      <c r="Q894" s="1417"/>
      <c r="R894" s="1417"/>
      <c r="S894" s="1417"/>
      <c r="T894" s="1417"/>
      <c r="U894" s="1417"/>
      <c r="V894" s="1417"/>
      <c r="W894" s="1417"/>
      <c r="X894" s="1417"/>
      <c r="Y894" s="1417"/>
      <c r="Z894" s="1417"/>
      <c r="AA894" s="1417"/>
      <c r="AB894" s="1423"/>
      <c r="AC894" s="1385">
        <f>IF(ISERROR((ROUNDDOWN(AC892/AC893,0))),0,(ROUNDDOWN(AC892/AC893,0)))</f>
        <v>9131</v>
      </c>
      <c r="AD894" s="1263"/>
      <c r="AE894" s="1263"/>
      <c r="AF894" s="1263"/>
      <c r="AG894" s="1263"/>
      <c r="AH894" s="1264"/>
      <c r="AL894" s="4"/>
      <c r="AM894" s="4"/>
      <c r="AN894" s="4"/>
      <c r="AO894" s="4"/>
      <c r="AP894" s="4"/>
      <c r="AQ894" s="4"/>
      <c r="AR894" s="4"/>
      <c r="AS894" s="4"/>
      <c r="AT894" s="4"/>
      <c r="AZ894" s="34"/>
      <c r="BA894" s="34"/>
      <c r="BB894" s="34"/>
      <c r="BC894" s="34"/>
    </row>
    <row r="895" spans="3:55" ht="12.9"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1648</v>
      </c>
      <c r="AC895" s="1552">
        <v>300000</v>
      </c>
      <c r="AD895" s="1294"/>
      <c r="AE895" s="1294"/>
      <c r="AF895" s="1294"/>
      <c r="AG895" s="1294"/>
      <c r="AH895" s="1388"/>
      <c r="AL895" s="4"/>
      <c r="AM895" s="4"/>
      <c r="AN895" s="4"/>
      <c r="AO895" s="4"/>
      <c r="AP895" s="4"/>
      <c r="AQ895" s="4"/>
      <c r="AR895" s="4"/>
      <c r="AS895" s="4"/>
      <c r="AT895" s="4"/>
      <c r="AZ895" s="34"/>
      <c r="BA895" s="34"/>
      <c r="BB895" s="34"/>
      <c r="BC895" s="34"/>
    </row>
    <row r="896" spans="3:55" ht="12.9"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1649</v>
      </c>
      <c r="AC896" s="1485"/>
      <c r="AD896" s="1374"/>
      <c r="AE896" s="1374"/>
      <c r="AF896" s="1374"/>
      <c r="AG896" s="1374"/>
      <c r="AH896" s="1375"/>
      <c r="AL896" s="4"/>
      <c r="AM896" s="4"/>
      <c r="AN896" s="4"/>
      <c r="AO896" s="4"/>
      <c r="AP896" s="4"/>
      <c r="AQ896" s="4"/>
      <c r="AR896" s="4"/>
      <c r="AS896" s="4"/>
      <c r="AT896" s="4"/>
      <c r="AZ896" s="34"/>
      <c r="BA896" s="34"/>
      <c r="BB896" s="34"/>
      <c r="BC896" s="34"/>
    </row>
    <row r="897" spans="1:58" ht="12.9"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1650</v>
      </c>
      <c r="AC897" s="1485">
        <v>17330</v>
      </c>
      <c r="AD897" s="1374"/>
      <c r="AE897" s="1374"/>
      <c r="AF897" s="1374"/>
      <c r="AG897" s="1374"/>
      <c r="AH897" s="1375"/>
      <c r="AL897" s="4"/>
      <c r="AM897" s="4"/>
      <c r="AN897" s="4"/>
      <c r="AO897" s="4"/>
      <c r="AP897" s="4"/>
      <c r="AQ897" s="4"/>
      <c r="AR897" s="4"/>
      <c r="AS897" s="4"/>
      <c r="AT897" s="4"/>
      <c r="AZ897" s="34"/>
      <c r="BA897" s="34"/>
      <c r="BB897" s="34"/>
      <c r="BC897" s="34"/>
    </row>
    <row r="898" spans="1:58" ht="12.9"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1651</v>
      </c>
      <c r="AC898" s="1485">
        <v>39600</v>
      </c>
      <c r="AD898" s="1374"/>
      <c r="AE898" s="1374"/>
      <c r="AF898" s="1374"/>
      <c r="AG898" s="1374"/>
      <c r="AH898" s="1375"/>
      <c r="AZ898" s="34"/>
      <c r="BA898" s="34"/>
      <c r="BB898" s="34"/>
      <c r="BC898" s="34"/>
    </row>
    <row r="899" spans="1:58" ht="12.9"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1652</v>
      </c>
      <c r="AC899" s="1412"/>
      <c r="AD899" s="1374"/>
      <c r="AE899" s="1374"/>
      <c r="AF899" s="1374"/>
      <c r="AG899" s="1374"/>
      <c r="AH899" s="1375"/>
      <c r="AZ899" s="34"/>
      <c r="BA899" s="34"/>
      <c r="BB899" s="34"/>
      <c r="BC899" s="34"/>
    </row>
    <row r="900" spans="1:58" ht="12.9"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1653</v>
      </c>
      <c r="AC900" s="1485">
        <v>7000</v>
      </c>
      <c r="AD900" s="1374"/>
      <c r="AE900" s="1374"/>
      <c r="AF900" s="1374"/>
      <c r="AG900" s="1374"/>
      <c r="AH900" s="1375"/>
      <c r="AZ900" s="34"/>
      <c r="BA900" s="34"/>
      <c r="BB900" s="34"/>
      <c r="BC900" s="34"/>
    </row>
    <row r="901" spans="1:58" ht="12.9" hidden="1" customHeight="1">
      <c r="C901" s="1498" t="s">
        <v>1654</v>
      </c>
      <c r="D901" s="1263"/>
      <c r="E901" s="1263"/>
      <c r="F901" s="1263"/>
      <c r="G901" s="1263"/>
      <c r="H901" s="1263"/>
      <c r="I901" s="1263"/>
      <c r="J901" s="1263"/>
      <c r="K901" s="1263"/>
      <c r="L901" s="1263"/>
      <c r="M901" s="1263"/>
      <c r="N901" s="1263"/>
      <c r="O901" s="1263"/>
      <c r="P901" s="1263"/>
      <c r="Q901" s="1263"/>
      <c r="R901" s="1263"/>
      <c r="S901" s="1263"/>
      <c r="T901" s="1263"/>
      <c r="U901" s="1263"/>
      <c r="V901" s="1263"/>
      <c r="W901" s="1263"/>
      <c r="X901" s="1263"/>
      <c r="Y901" s="1263"/>
      <c r="Z901" s="1263"/>
      <c r="AA901" s="1263"/>
      <c r="AB901" s="1264"/>
      <c r="AC901" s="1485"/>
      <c r="AD901" s="1374"/>
      <c r="AE901" s="1374"/>
      <c r="AF901" s="1374"/>
      <c r="AG901" s="1374"/>
      <c r="AH901" s="1375"/>
      <c r="AZ901" s="34"/>
      <c r="BA901" s="34"/>
      <c r="BB901" s="34"/>
      <c r="BC901" s="34"/>
    </row>
    <row r="902" spans="1:58" ht="12.9"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1655</v>
      </c>
      <c r="AC902" s="1485"/>
      <c r="AD902" s="1374"/>
      <c r="AE902" s="1374"/>
      <c r="AF902" s="1374"/>
      <c r="AG902" s="1374"/>
      <c r="AH902" s="1375"/>
      <c r="AZ902" s="34"/>
      <c r="BA902" s="34"/>
      <c r="BB902" s="34"/>
      <c r="BC902" s="34"/>
    </row>
    <row r="903" spans="1:58" ht="12.9" customHeight="1">
      <c r="C903" s="1516" t="s">
        <v>1656</v>
      </c>
      <c r="D903" s="1374"/>
      <c r="E903" s="1374"/>
      <c r="F903" s="1374"/>
      <c r="G903" s="1374"/>
      <c r="H903" s="1374"/>
      <c r="I903" s="1374"/>
      <c r="J903" s="1374"/>
      <c r="K903" s="1374"/>
      <c r="L903" s="1374"/>
      <c r="M903" s="1374"/>
      <c r="N903" s="1374"/>
      <c r="O903" s="1374"/>
      <c r="P903" s="1374"/>
      <c r="Q903" s="1374"/>
      <c r="R903" s="1374"/>
      <c r="S903" s="1374"/>
      <c r="T903" s="1374"/>
      <c r="U903" s="1374"/>
      <c r="V903" s="1374"/>
      <c r="W903" s="1374"/>
      <c r="X903" s="1374"/>
      <c r="Y903" s="1374"/>
      <c r="Z903" s="1374"/>
      <c r="AA903" s="1374"/>
      <c r="AB903" s="1375"/>
      <c r="AC903" s="1394"/>
      <c r="AD903" s="1374"/>
      <c r="AE903" s="1374"/>
      <c r="AF903" s="1374"/>
      <c r="AG903" s="1374"/>
      <c r="AH903" s="1375"/>
      <c r="AZ903" s="34"/>
      <c r="BA903" s="34"/>
      <c r="BB903" s="34"/>
      <c r="BC903" s="34"/>
    </row>
    <row r="904" spans="1:58" ht="12.9" customHeight="1">
      <c r="C904" s="1516" t="s">
        <v>1656</v>
      </c>
      <c r="D904" s="1374"/>
      <c r="E904" s="1374"/>
      <c r="F904" s="1374"/>
      <c r="G904" s="1374"/>
      <c r="H904" s="1374"/>
      <c r="I904" s="1374"/>
      <c r="J904" s="1374"/>
      <c r="K904" s="1374"/>
      <c r="L904" s="1374"/>
      <c r="M904" s="1374"/>
      <c r="N904" s="1374"/>
      <c r="O904" s="1374"/>
      <c r="P904" s="1374"/>
      <c r="Q904" s="1374"/>
      <c r="R904" s="1374"/>
      <c r="S904" s="1374"/>
      <c r="T904" s="1374"/>
      <c r="U904" s="1374"/>
      <c r="V904" s="1374"/>
      <c r="W904" s="1374"/>
      <c r="X904" s="1374"/>
      <c r="Y904" s="1374"/>
      <c r="Z904" s="1374"/>
      <c r="AA904" s="1374"/>
      <c r="AB904" s="1375"/>
      <c r="AC904" s="1394"/>
      <c r="AD904" s="1374"/>
      <c r="AE904" s="1374"/>
      <c r="AF904" s="1374"/>
      <c r="AG904" s="1374"/>
      <c r="AH904" s="1375"/>
      <c r="AU904" s="95"/>
      <c r="AZ904" s="34"/>
      <c r="BA904" s="34"/>
      <c r="BB904" s="34"/>
      <c r="BC904" s="34"/>
    </row>
    <row r="905" spans="1:58" ht="12.9" customHeight="1">
      <c r="E905" s="512"/>
      <c r="AB905" s="56"/>
      <c r="AC905" s="123"/>
      <c r="AD905" s="123"/>
      <c r="AE905" s="123"/>
      <c r="AF905" s="123"/>
      <c r="AG905" s="123"/>
      <c r="AH905" s="123"/>
      <c r="AU905" s="95"/>
      <c r="AZ905" s="34"/>
      <c r="BA905" s="34"/>
      <c r="BB905" s="34"/>
      <c r="BC905" s="34"/>
    </row>
    <row r="906" spans="1:58" ht="12.9" customHeight="1">
      <c r="A906" s="2" t="s">
        <v>1390</v>
      </c>
      <c r="C906" s="2" t="s">
        <v>1657</v>
      </c>
      <c r="X906" s="12"/>
      <c r="Y906" s="12"/>
      <c r="Z906" s="12"/>
      <c r="AA906" s="12"/>
      <c r="AB906" s="12"/>
      <c r="AC906" s="12"/>
      <c r="AD906" s="12"/>
      <c r="AU906" s="95"/>
      <c r="AZ906" s="34"/>
      <c r="BB906" s="30"/>
      <c r="BC906" s="30"/>
    </row>
    <row r="907" spans="1:58" ht="12.9" customHeight="1">
      <c r="X907" s="12"/>
      <c r="Y907" s="12"/>
      <c r="Z907" s="12"/>
      <c r="AA907" s="12"/>
      <c r="AB907" s="12"/>
      <c r="AC907" s="12"/>
      <c r="AD907" s="12"/>
      <c r="AF907" s="533"/>
      <c r="AG907" s="180"/>
      <c r="AH907" s="180"/>
      <c r="AI907" s="180"/>
      <c r="AU907" s="95"/>
      <c r="AZ907" s="34"/>
      <c r="BB907" s="30"/>
      <c r="BC907" s="30"/>
      <c r="BD907" s="14"/>
      <c r="BE907" s="14"/>
      <c r="BF907" s="14"/>
    </row>
    <row r="908" spans="1:58" ht="12.9" customHeight="1">
      <c r="B908" s="2"/>
      <c r="H908" s="121" t="s">
        <v>1658</v>
      </c>
      <c r="I908" s="5"/>
      <c r="J908" s="5"/>
      <c r="K908" s="5"/>
      <c r="L908" s="5"/>
      <c r="M908" s="5"/>
      <c r="N908" s="5"/>
      <c r="O908" s="5"/>
      <c r="P908" s="5"/>
      <c r="Q908" s="5"/>
      <c r="R908" s="5"/>
      <c r="S908" s="5"/>
      <c r="T908" s="5"/>
      <c r="U908" s="5"/>
      <c r="V908" s="5"/>
      <c r="W908" s="5"/>
      <c r="X908" s="5"/>
      <c r="Y908" s="46"/>
      <c r="Z908" s="1394"/>
      <c r="AA908" s="1374"/>
      <c r="AB908" s="1374"/>
      <c r="AC908" s="1374"/>
      <c r="AD908" s="1374"/>
      <c r="AE908" s="1375"/>
      <c r="AF908" s="533"/>
      <c r="AZ908" s="34"/>
      <c r="BB908" s="30"/>
      <c r="BC908" s="812"/>
      <c r="BD908" s="1553"/>
      <c r="BE908" s="1298"/>
      <c r="BF908" s="14"/>
    </row>
    <row r="909" spans="1:58" ht="12.9" customHeight="1">
      <c r="H909" s="121" t="s">
        <v>1659</v>
      </c>
      <c r="I909" s="5"/>
      <c r="J909" s="5"/>
      <c r="K909" s="5"/>
      <c r="L909" s="5"/>
      <c r="M909" s="5"/>
      <c r="N909" s="5"/>
      <c r="O909" s="5"/>
      <c r="P909" s="5"/>
      <c r="Q909" s="5"/>
      <c r="R909" s="5"/>
      <c r="S909" s="5"/>
      <c r="T909" s="5"/>
      <c r="U909" s="5"/>
      <c r="V909" s="5"/>
      <c r="W909" s="5"/>
      <c r="X909" s="5"/>
      <c r="Y909" s="5"/>
      <c r="Z909" s="1394"/>
      <c r="AA909" s="1374"/>
      <c r="AB909" s="1374"/>
      <c r="AC909" s="1374"/>
      <c r="AD909" s="1374"/>
      <c r="AE909" s="1375"/>
      <c r="AZ909" s="34"/>
      <c r="BB909" s="30"/>
      <c r="BC909" s="812"/>
      <c r="BD909" s="1553"/>
      <c r="BE909" s="1298"/>
      <c r="BF909" s="14"/>
    </row>
    <row r="910" spans="1:58" ht="12.9" customHeight="1">
      <c r="H910" s="121" t="s">
        <v>1660</v>
      </c>
      <c r="I910" s="5"/>
      <c r="J910" s="5"/>
      <c r="K910" s="5"/>
      <c r="L910" s="5"/>
      <c r="M910" s="5"/>
      <c r="N910" s="5"/>
      <c r="O910" s="5"/>
      <c r="P910" s="5"/>
      <c r="Q910" s="5"/>
      <c r="R910" s="5"/>
      <c r="S910" s="5"/>
      <c r="T910" s="5"/>
      <c r="U910" s="5"/>
      <c r="V910" s="5"/>
      <c r="W910" s="5"/>
      <c r="X910" s="5"/>
      <c r="Y910" s="5"/>
      <c r="Z910" s="1394"/>
      <c r="AA910" s="1374"/>
      <c r="AB910" s="1374"/>
      <c r="AC910" s="1374"/>
      <c r="AD910" s="1374"/>
      <c r="AE910" s="1375"/>
      <c r="AZ910" s="34"/>
      <c r="BB910" s="30"/>
      <c r="BC910" s="812"/>
      <c r="BD910" s="1486"/>
      <c r="BE910" s="1298"/>
      <c r="BF910" s="14"/>
    </row>
    <row r="911" spans="1:58" ht="12.9" customHeight="1">
      <c r="H911" s="45"/>
      <c r="I911" s="5"/>
      <c r="J911" s="5"/>
      <c r="K911" s="5"/>
      <c r="L911" s="5"/>
      <c r="M911" s="5"/>
      <c r="N911" s="5"/>
      <c r="O911" s="5"/>
      <c r="P911" s="5"/>
      <c r="Q911" s="5"/>
      <c r="R911" s="5"/>
      <c r="S911" s="5"/>
      <c r="T911" s="5"/>
      <c r="U911" s="5"/>
      <c r="V911" s="5"/>
      <c r="W911" s="5"/>
      <c r="X911" s="5"/>
      <c r="Y911" s="181" t="s">
        <v>1661</v>
      </c>
      <c r="Z911" s="1385">
        <f>Z908-(Z909+Z910)</f>
        <v>0</v>
      </c>
      <c r="AA911" s="1263"/>
      <c r="AB911" s="1263"/>
      <c r="AC911" s="1263"/>
      <c r="AD911" s="1263"/>
      <c r="AE911" s="1264"/>
      <c r="AZ911" s="34"/>
      <c r="BB911" s="30"/>
      <c r="BC911" s="812"/>
      <c r="BD911" s="1486"/>
      <c r="BE911" s="1298"/>
      <c r="BF911" s="14"/>
    </row>
    <row r="912" spans="1:58" ht="12.9"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486"/>
      <c r="BE912" s="1298"/>
      <c r="BF912" s="14"/>
    </row>
    <row r="913" spans="1:58" ht="12.9" customHeight="1">
      <c r="C913" t="s">
        <v>1662</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3"/>
      <c r="BE913" s="1298"/>
      <c r="BF913" s="14"/>
    </row>
    <row r="914" spans="1:58" ht="12.9" customHeight="1">
      <c r="C914" s="182" t="s">
        <v>1663</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659"/>
      <c r="BE914" s="1298"/>
      <c r="BF914" s="1298"/>
    </row>
    <row r="915" spans="1:58" ht="12.9" customHeight="1">
      <c r="C915" s="182" t="s">
        <v>1664</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35"/>
      <c r="BE915" s="1298"/>
      <c r="BF915" s="1298"/>
    </row>
    <row r="916" spans="1:58" ht="12.9" customHeight="1">
      <c r="C916" s="340" t="s">
        <v>1665</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486"/>
      <c r="BE916" s="1298"/>
      <c r="BF916" s="14"/>
    </row>
    <row r="917" spans="1:58" ht="12.9"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3"/>
      <c r="BE917" s="1298"/>
      <c r="BF917" s="14"/>
    </row>
    <row r="918" spans="1:58" ht="12.9" customHeight="1">
      <c r="AZ918" s="34"/>
      <c r="BB918" s="30"/>
      <c r="BC918" s="812"/>
    </row>
    <row r="919" spans="1:58" ht="12.9" customHeight="1">
      <c r="A919" s="1462" t="s">
        <v>1666</v>
      </c>
      <c r="B919" s="1298"/>
      <c r="C919" s="1298"/>
      <c r="D919" s="1298"/>
      <c r="E919" s="1298"/>
      <c r="F919" s="1298"/>
      <c r="G919" s="1298"/>
      <c r="H919" s="1298"/>
      <c r="I919" s="1298"/>
      <c r="J919" s="1298"/>
      <c r="K919" s="1298"/>
      <c r="L919" s="1298"/>
      <c r="M919" s="1298"/>
      <c r="N919" s="1298"/>
      <c r="O919" s="1298"/>
      <c r="P919" s="1298"/>
      <c r="Q919" s="1298"/>
      <c r="R919" s="1298"/>
      <c r="S919" s="1298"/>
      <c r="T919" s="1298"/>
      <c r="U919" s="1298"/>
      <c r="V919" s="1298"/>
      <c r="W919" s="1298"/>
      <c r="X919" s="1298"/>
      <c r="Y919" s="1298"/>
      <c r="Z919" s="1298"/>
      <c r="AA919" s="1298"/>
      <c r="AB919" s="1298"/>
      <c r="AC919" s="1298"/>
      <c r="AD919" s="1298"/>
      <c r="AE919" s="1298"/>
      <c r="AF919" s="1298"/>
      <c r="AG919" s="1298"/>
      <c r="AH919" s="1298"/>
      <c r="AI919" s="1298"/>
      <c r="AJ919" s="1298"/>
      <c r="AK919" s="1298"/>
      <c r="AL919" s="1298"/>
      <c r="AM919" s="1298"/>
      <c r="AN919" s="1298"/>
      <c r="AO919" s="1298"/>
      <c r="AP919" s="1298"/>
      <c r="AQ919" s="1298"/>
      <c r="AR919" s="1298"/>
      <c r="AS919" s="1298"/>
      <c r="AT919" s="1298"/>
      <c r="AZ919" s="34"/>
      <c r="BA919" s="34"/>
      <c r="BB919" s="30"/>
      <c r="BC919" s="30"/>
      <c r="BD919" s="1553"/>
      <c r="BE919" s="1298"/>
      <c r="BF919" s="907"/>
    </row>
    <row r="920" spans="1:58" ht="12.9" customHeight="1">
      <c r="A920" s="1298"/>
      <c r="B920" s="1298"/>
      <c r="C920" s="1298"/>
      <c r="D920" s="1298"/>
      <c r="E920" s="1298"/>
      <c r="F920" s="1298"/>
      <c r="G920" s="1298"/>
      <c r="H920" s="1298"/>
      <c r="I920" s="1298"/>
      <c r="J920" s="1298"/>
      <c r="K920" s="1298"/>
      <c r="L920" s="1298"/>
      <c r="M920" s="1298"/>
      <c r="N920" s="1298"/>
      <c r="O920" s="1298"/>
      <c r="P920" s="1298"/>
      <c r="Q920" s="1298"/>
      <c r="R920" s="1298"/>
      <c r="S920" s="1298"/>
      <c r="T920" s="1298"/>
      <c r="U920" s="1298"/>
      <c r="V920" s="1298"/>
      <c r="W920" s="1298"/>
      <c r="X920" s="1298"/>
      <c r="Y920" s="1298"/>
      <c r="Z920" s="1298"/>
      <c r="AA920" s="1298"/>
      <c r="AB920" s="1298"/>
      <c r="AC920" s="1298"/>
      <c r="AD920" s="1298"/>
      <c r="AE920" s="1298"/>
      <c r="AF920" s="1298"/>
      <c r="AG920" s="1298"/>
      <c r="AH920" s="1298"/>
      <c r="AI920" s="1298"/>
      <c r="AJ920" s="1298"/>
      <c r="AK920" s="1298"/>
      <c r="AL920" s="1298"/>
      <c r="AM920" s="1298"/>
      <c r="AN920" s="1298"/>
      <c r="AO920" s="1298"/>
      <c r="AP920" s="1298"/>
      <c r="AQ920" s="1298"/>
      <c r="AR920" s="1298"/>
      <c r="AS920" s="1298"/>
      <c r="AT920" s="1298"/>
      <c r="AZ920" s="34"/>
      <c r="BA920" s="34"/>
      <c r="BB920" s="34"/>
      <c r="BC920" s="34"/>
      <c r="BD920" s="34"/>
      <c r="BE920" s="34"/>
      <c r="BF920" s="34"/>
    </row>
    <row r="921" spans="1:58" ht="12.9"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 customHeight="1">
      <c r="A922" s="2" t="s">
        <v>994</v>
      </c>
      <c r="C922" s="2" t="s">
        <v>354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 customHeight="1">
      <c r="AZ923" s="34"/>
      <c r="BA923" s="34"/>
      <c r="BB923" s="34"/>
      <c r="BC923" s="34"/>
    </row>
    <row r="924" spans="1:58" ht="12.9" customHeight="1">
      <c r="F924" s="1562" t="s">
        <v>1667</v>
      </c>
      <c r="G924" s="1417"/>
      <c r="H924" s="1417"/>
      <c r="I924" s="1417"/>
      <c r="J924" s="1417"/>
      <c r="K924" s="1417"/>
      <c r="L924" s="1417"/>
      <c r="M924" s="1417"/>
      <c r="N924" s="1417"/>
      <c r="O924" s="1417"/>
      <c r="P924" s="1417"/>
      <c r="Q924" s="1417"/>
      <c r="R924" s="1417"/>
      <c r="S924" s="1417"/>
      <c r="T924" s="1423"/>
      <c r="U924" s="1618" t="s">
        <v>1668</v>
      </c>
      <c r="V924" s="1417"/>
      <c r="W924" s="1417"/>
      <c r="X924" s="1417"/>
      <c r="Y924" s="1417"/>
      <c r="Z924" s="1417"/>
      <c r="AA924" s="43"/>
      <c r="AB924" s="105"/>
      <c r="AC924" s="105"/>
      <c r="AD924" s="105"/>
      <c r="AE924" s="105"/>
      <c r="AF924" s="106"/>
      <c r="AZ924" s="34"/>
      <c r="BA924" s="34"/>
      <c r="BB924" s="34"/>
      <c r="BC924" s="34"/>
    </row>
    <row r="925" spans="1:58" ht="12.9" customHeight="1">
      <c r="B925" s="2"/>
      <c r="F925" s="1504" t="s">
        <v>1669</v>
      </c>
      <c r="G925" s="1298"/>
      <c r="H925" s="1298"/>
      <c r="I925" s="1298"/>
      <c r="J925" s="1298"/>
      <c r="K925" s="1298"/>
      <c r="L925" s="1298"/>
      <c r="M925" s="1298"/>
      <c r="N925" s="1298"/>
      <c r="O925" s="1298"/>
      <c r="P925" s="1298"/>
      <c r="Q925" s="1298"/>
      <c r="R925" s="1298"/>
      <c r="S925" s="1298"/>
      <c r="T925" s="1383"/>
      <c r="U925" s="1403"/>
      <c r="V925" s="1298"/>
      <c r="W925" s="1298"/>
      <c r="X925" s="1298"/>
      <c r="Y925" s="1298"/>
      <c r="Z925" s="1298"/>
      <c r="AA925" s="44"/>
      <c r="AB925" s="4"/>
      <c r="AC925" s="4"/>
      <c r="AD925" s="4"/>
      <c r="AE925" s="4"/>
      <c r="AF925" s="107"/>
      <c r="AZ925" s="34"/>
      <c r="BA925" s="34"/>
      <c r="BB925" s="34"/>
      <c r="BC925" s="34"/>
    </row>
    <row r="926" spans="1:58" ht="12.9" customHeight="1">
      <c r="B926" s="2"/>
      <c r="F926" s="1404"/>
      <c r="G926" s="1405"/>
      <c r="H926" s="1405"/>
      <c r="I926" s="1405"/>
      <c r="J926" s="1405"/>
      <c r="K926" s="1405"/>
      <c r="L926" s="1405"/>
      <c r="M926" s="1405"/>
      <c r="N926" s="1405"/>
      <c r="O926" s="1405"/>
      <c r="P926" s="1405"/>
      <c r="Q926" s="1405"/>
      <c r="R926" s="1405"/>
      <c r="S926" s="1405"/>
      <c r="T926" s="1296"/>
      <c r="U926" s="1404"/>
      <c r="V926" s="1405"/>
      <c r="W926" s="1405"/>
      <c r="X926" s="1405"/>
      <c r="Y926" s="1405"/>
      <c r="Z926" s="1405"/>
      <c r="AA926" s="108"/>
      <c r="AB926" s="1638" t="s">
        <v>1670</v>
      </c>
      <c r="AC926" s="1405"/>
      <c r="AD926" s="1405"/>
      <c r="AE926" s="1405"/>
      <c r="AF926" s="109"/>
      <c r="AZ926" s="34"/>
      <c r="BA926" s="34"/>
      <c r="BB926" s="34"/>
      <c r="BC926" s="34"/>
    </row>
    <row r="927" spans="1:58" ht="12.9" customHeight="1">
      <c r="B927" s="2"/>
      <c r="F927" s="45" t="s">
        <v>1671</v>
      </c>
      <c r="G927" s="48"/>
      <c r="H927" s="48"/>
      <c r="I927" s="48"/>
      <c r="J927" s="48"/>
      <c r="K927" s="48"/>
      <c r="L927" s="48"/>
      <c r="M927" s="48"/>
      <c r="N927" s="48"/>
      <c r="O927" s="48"/>
      <c r="P927" s="48"/>
      <c r="Q927" s="48"/>
      <c r="R927" s="48"/>
      <c r="S927" s="48"/>
      <c r="T927" s="49"/>
      <c r="U927" s="1409" t="s">
        <v>935</v>
      </c>
      <c r="V927" s="1374"/>
      <c r="W927" s="1374"/>
      <c r="X927" s="1374"/>
      <c r="Y927" s="1374"/>
      <c r="Z927" s="1375"/>
      <c r="AA927" s="1387">
        <v>8475000</v>
      </c>
      <c r="AB927" s="1294"/>
      <c r="AC927" s="1294"/>
      <c r="AD927" s="1294"/>
      <c r="AE927" s="1294"/>
      <c r="AF927" s="1388"/>
      <c r="AG927" s="1186" t="str">
        <f>IF(NOT(AA927=AW927),"!","")</f>
        <v/>
      </c>
      <c r="AH927" s="3"/>
      <c r="AW927" s="1437">
        <f>SUMIF($M$562:$M$573,"Loan, Tax-Exempt",$AM$562:$AM$573)</f>
        <v>8475000</v>
      </c>
      <c r="AX927" s="1298"/>
      <c r="AY927" s="1298"/>
      <c r="AZ927" s="3" t="s">
        <v>1672</v>
      </c>
      <c r="BA927" s="34"/>
      <c r="BB927" s="34"/>
      <c r="BC927" s="34"/>
    </row>
    <row r="928" spans="1:58" ht="12.9" customHeight="1">
      <c r="B928" s="2"/>
      <c r="F928" s="66" t="s">
        <v>1673</v>
      </c>
      <c r="G928" s="48"/>
      <c r="H928" s="48"/>
      <c r="I928" s="48"/>
      <c r="J928" s="48"/>
      <c r="K928" s="48"/>
      <c r="L928" s="48"/>
      <c r="M928" s="48"/>
      <c r="N928" s="48"/>
      <c r="O928" s="48"/>
      <c r="P928" s="48"/>
      <c r="Q928" s="48"/>
      <c r="R928" s="48"/>
      <c r="S928" s="48"/>
      <c r="T928" s="49"/>
      <c r="U928" s="1409" t="s">
        <v>935</v>
      </c>
      <c r="V928" s="1374"/>
      <c r="W928" s="1374"/>
      <c r="X928" s="1374"/>
      <c r="Y928" s="1374"/>
      <c r="Z928" s="1375"/>
      <c r="AA928" s="1387"/>
      <c r="AB928" s="1294"/>
      <c r="AC928" s="1294"/>
      <c r="AD928" s="1294"/>
      <c r="AE928" s="1294"/>
      <c r="AF928" s="1388"/>
      <c r="AZ928" s="34"/>
      <c r="BA928" s="34"/>
      <c r="BB928" s="34"/>
      <c r="BC928" s="34"/>
    </row>
    <row r="929" spans="6:55" ht="12.9" customHeight="1">
      <c r="F929" s="45" t="s">
        <v>1674</v>
      </c>
      <c r="G929" s="5"/>
      <c r="H929" s="5"/>
      <c r="I929" s="5"/>
      <c r="J929" s="5"/>
      <c r="K929" s="5"/>
      <c r="L929" s="5"/>
      <c r="M929" s="5"/>
      <c r="N929" s="5"/>
      <c r="O929" s="5"/>
      <c r="P929" s="5"/>
      <c r="Q929" s="5"/>
      <c r="R929" s="5"/>
      <c r="S929" s="5"/>
      <c r="T929" s="46"/>
      <c r="U929" s="1409" t="s">
        <v>935</v>
      </c>
      <c r="V929" s="1374"/>
      <c r="W929" s="1374"/>
      <c r="X929" s="1374"/>
      <c r="Y929" s="1374"/>
      <c r="Z929" s="1375"/>
      <c r="AA929" s="1387"/>
      <c r="AB929" s="1294"/>
      <c r="AC929" s="1294"/>
      <c r="AD929" s="1294"/>
      <c r="AE929" s="1294"/>
      <c r="AF929" s="1388"/>
      <c r="AZ929" s="34"/>
      <c r="BA929" s="34"/>
      <c r="BB929" s="34"/>
      <c r="BC929" s="34"/>
    </row>
    <row r="930" spans="6:55" ht="12.9" customHeight="1">
      <c r="F930" s="45" t="s">
        <v>1675</v>
      </c>
      <c r="G930" s="5"/>
      <c r="H930" s="5"/>
      <c r="I930" s="5"/>
      <c r="J930" s="5"/>
      <c r="K930" s="5"/>
      <c r="L930" s="5"/>
      <c r="M930" s="5"/>
      <c r="N930" s="5"/>
      <c r="O930" s="5"/>
      <c r="P930" s="5"/>
      <c r="Q930" s="5"/>
      <c r="R930" s="5"/>
      <c r="S930" s="5"/>
      <c r="T930" s="46"/>
      <c r="U930" s="1409" t="s">
        <v>935</v>
      </c>
      <c r="V930" s="1374"/>
      <c r="W930" s="1374"/>
      <c r="X930" s="1374"/>
      <c r="Y930" s="1374"/>
      <c r="Z930" s="1375"/>
      <c r="AA930" s="1387"/>
      <c r="AB930" s="1294"/>
      <c r="AC930" s="1294"/>
      <c r="AD930" s="1294"/>
      <c r="AE930" s="1294"/>
      <c r="AF930" s="1388"/>
      <c r="AZ930" s="34"/>
      <c r="BA930" s="34"/>
      <c r="BB930" s="34"/>
      <c r="BC930" s="34"/>
    </row>
    <row r="931" spans="6:55" ht="12.9" customHeight="1">
      <c r="F931" s="66" t="s">
        <v>1676</v>
      </c>
      <c r="G931" s="5"/>
      <c r="H931" s="5"/>
      <c r="I931" s="5"/>
      <c r="J931" s="5"/>
      <c r="K931" s="5"/>
      <c r="L931" s="5"/>
      <c r="M931" s="5"/>
      <c r="N931" s="5"/>
      <c r="O931" s="5"/>
      <c r="P931" s="5"/>
      <c r="Q931" s="5"/>
      <c r="R931" s="5"/>
      <c r="S931" s="5"/>
      <c r="T931" s="46"/>
      <c r="U931" s="1409" t="s">
        <v>935</v>
      </c>
      <c r="V931" s="1374"/>
      <c r="W931" s="1374"/>
      <c r="X931" s="1374"/>
      <c r="Y931" s="1374"/>
      <c r="Z931" s="1375"/>
      <c r="AA931" s="1387"/>
      <c r="AB931" s="1294"/>
      <c r="AC931" s="1294"/>
      <c r="AD931" s="1294"/>
      <c r="AE931" s="1294"/>
      <c r="AF931" s="1388"/>
      <c r="AZ931" s="34"/>
      <c r="BA931" s="34"/>
      <c r="BB931" s="34"/>
      <c r="BC931" s="34"/>
    </row>
    <row r="932" spans="6:55" ht="12.9" customHeight="1">
      <c r="F932" s="66" t="s">
        <v>1677</v>
      </c>
      <c r="G932" s="5"/>
      <c r="H932" s="5"/>
      <c r="I932" s="5"/>
      <c r="J932" s="5"/>
      <c r="K932" s="5"/>
      <c r="L932" s="5"/>
      <c r="M932" s="5"/>
      <c r="N932" s="5"/>
      <c r="O932" s="5"/>
      <c r="P932" s="5"/>
      <c r="Q932" s="5"/>
      <c r="R932" s="5"/>
      <c r="S932" s="5"/>
      <c r="T932" s="46"/>
      <c r="U932" s="1409" t="s">
        <v>935</v>
      </c>
      <c r="V932" s="1374"/>
      <c r="W932" s="1374"/>
      <c r="X932" s="1374"/>
      <c r="Y932" s="1374"/>
      <c r="Z932" s="1375"/>
      <c r="AA932" s="1387"/>
      <c r="AB932" s="1294"/>
      <c r="AC932" s="1294"/>
      <c r="AD932" s="1294"/>
      <c r="AE932" s="1294"/>
      <c r="AF932" s="1388"/>
      <c r="AZ932" s="34"/>
      <c r="BA932" s="34"/>
      <c r="BB932" s="34"/>
      <c r="BC932" s="34"/>
    </row>
    <row r="933" spans="6:55" ht="12.9" customHeight="1">
      <c r="F933" s="66" t="s">
        <v>1678</v>
      </c>
      <c r="G933" s="5"/>
      <c r="H933" s="5"/>
      <c r="I933" s="5"/>
      <c r="J933" s="5"/>
      <c r="K933" s="5"/>
      <c r="L933" s="5"/>
      <c r="M933" s="5"/>
      <c r="N933" s="5"/>
      <c r="O933" s="5"/>
      <c r="P933" s="5"/>
      <c r="Q933" s="5"/>
      <c r="R933" s="5"/>
      <c r="S933" s="5"/>
      <c r="T933" s="46"/>
      <c r="U933" s="1409" t="s">
        <v>935</v>
      </c>
      <c r="V933" s="1374"/>
      <c r="W933" s="1374"/>
      <c r="X933" s="1374"/>
      <c r="Y933" s="1374"/>
      <c r="Z933" s="1375"/>
      <c r="AA933" s="1387"/>
      <c r="AB933" s="1294"/>
      <c r="AC933" s="1294"/>
      <c r="AD933" s="1294"/>
      <c r="AE933" s="1294"/>
      <c r="AF933" s="1388"/>
      <c r="AZ933" s="34"/>
      <c r="BA933" s="34"/>
      <c r="BB933" s="34"/>
      <c r="BC933" s="34"/>
    </row>
    <row r="934" spans="6:55" ht="12.9" customHeight="1">
      <c r="F934" s="45" t="s">
        <v>1679</v>
      </c>
      <c r="G934" s="5"/>
      <c r="H934" s="5"/>
      <c r="I934" s="5"/>
      <c r="J934" s="5"/>
      <c r="K934" s="5"/>
      <c r="L934" s="5"/>
      <c r="M934" s="5"/>
      <c r="N934" s="5"/>
      <c r="O934" s="5"/>
      <c r="P934" s="5"/>
      <c r="Q934" s="5"/>
      <c r="R934" s="5"/>
      <c r="S934" s="5"/>
      <c r="T934" s="46"/>
      <c r="U934" s="1409" t="s">
        <v>935</v>
      </c>
      <c r="V934" s="1374"/>
      <c r="W934" s="1374"/>
      <c r="X934" s="1374"/>
      <c r="Y934" s="1374"/>
      <c r="Z934" s="1375"/>
      <c r="AA934" s="1387"/>
      <c r="AB934" s="1294"/>
      <c r="AC934" s="1294"/>
      <c r="AD934" s="1294"/>
      <c r="AE934" s="1294"/>
      <c r="AF934" s="1388"/>
      <c r="AZ934" s="34"/>
      <c r="BA934" s="34"/>
      <c r="BB934" s="34"/>
      <c r="BC934" s="34"/>
    </row>
    <row r="935" spans="6:55" ht="12.9" customHeight="1">
      <c r="F935" s="1456" t="s">
        <v>1680</v>
      </c>
      <c r="G935" s="1263"/>
      <c r="H935" s="1263"/>
      <c r="I935" s="1263"/>
      <c r="J935" s="1263"/>
      <c r="K935" s="1263"/>
      <c r="L935" s="1263"/>
      <c r="M935" s="1263"/>
      <c r="N935" s="1263"/>
      <c r="O935" s="1263"/>
      <c r="P935" s="1263"/>
      <c r="Q935" s="1263"/>
      <c r="R935" s="1263"/>
      <c r="S935" s="1263"/>
      <c r="T935" s="1264"/>
      <c r="U935" s="1409" t="s">
        <v>935</v>
      </c>
      <c r="V935" s="1374"/>
      <c r="W935" s="1374"/>
      <c r="X935" s="1374"/>
      <c r="Y935" s="1374"/>
      <c r="Z935" s="1375"/>
      <c r="AA935" s="1387"/>
      <c r="AB935" s="1294"/>
      <c r="AC935" s="1294"/>
      <c r="AD935" s="1294"/>
      <c r="AE935" s="1294"/>
      <c r="AF935" s="1388"/>
      <c r="AZ935" s="34"/>
      <c r="BA935" s="34"/>
      <c r="BB935" s="34"/>
      <c r="BC935" s="34"/>
    </row>
    <row r="936" spans="6:55" ht="12.9" customHeight="1">
      <c r="F936" s="1456" t="s">
        <v>1681</v>
      </c>
      <c r="G936" s="1263"/>
      <c r="H936" s="1263"/>
      <c r="I936" s="1263"/>
      <c r="J936" s="1263"/>
      <c r="K936" s="1263"/>
      <c r="L936" s="1263"/>
      <c r="M936" s="1263"/>
      <c r="N936" s="1263"/>
      <c r="O936" s="1263"/>
      <c r="P936" s="1263"/>
      <c r="Q936" s="1263"/>
      <c r="R936" s="1263"/>
      <c r="S936" s="1263"/>
      <c r="T936" s="1264"/>
      <c r="U936" s="1409" t="s">
        <v>935</v>
      </c>
      <c r="V936" s="1374"/>
      <c r="W936" s="1374"/>
      <c r="X936" s="1374"/>
      <c r="Y936" s="1374"/>
      <c r="Z936" s="1375"/>
      <c r="AA936" s="1387"/>
      <c r="AB936" s="1294"/>
      <c r="AC936" s="1294"/>
      <c r="AD936" s="1294"/>
      <c r="AE936" s="1294"/>
      <c r="AF936" s="1388"/>
      <c r="AU936" s="2"/>
      <c r="AZ936" s="34"/>
      <c r="BA936" s="34"/>
      <c r="BB936" s="34"/>
      <c r="BC936" s="34"/>
    </row>
    <row r="937" spans="6:55" ht="12.9" customHeight="1">
      <c r="F937" s="1456" t="s">
        <v>1682</v>
      </c>
      <c r="G937" s="1263"/>
      <c r="H937" s="1263"/>
      <c r="I937" s="1263"/>
      <c r="J937" s="1263"/>
      <c r="K937" s="1263"/>
      <c r="L937" s="1263"/>
      <c r="M937" s="1263"/>
      <c r="N937" s="1263"/>
      <c r="O937" s="1263"/>
      <c r="P937" s="1263"/>
      <c r="Q937" s="1263"/>
      <c r="R937" s="1263"/>
      <c r="S937" s="1263"/>
      <c r="T937" s="1264"/>
      <c r="U937" s="1409" t="s">
        <v>935</v>
      </c>
      <c r="V937" s="1374"/>
      <c r="W937" s="1374"/>
      <c r="X937" s="1374"/>
      <c r="Y937" s="1374"/>
      <c r="Z937" s="1375"/>
      <c r="AA937" s="1387"/>
      <c r="AB937" s="1294"/>
      <c r="AC937" s="1294"/>
      <c r="AD937" s="1294"/>
      <c r="AE937" s="1294"/>
      <c r="AF937" s="1388"/>
      <c r="AU937" s="2"/>
      <c r="AZ937" s="34"/>
      <c r="BA937" s="34"/>
      <c r="BB937" s="34"/>
      <c r="BC937" s="34"/>
    </row>
    <row r="938" spans="6:55" ht="12.9" customHeight="1">
      <c r="F938" s="1456" t="s">
        <v>1683</v>
      </c>
      <c r="G938" s="1263"/>
      <c r="H938" s="1263"/>
      <c r="I938" s="1263"/>
      <c r="J938" s="1263"/>
      <c r="K938" s="1263"/>
      <c r="L938" s="1263"/>
      <c r="M938" s="1263"/>
      <c r="N938" s="1263"/>
      <c r="O938" s="1263"/>
      <c r="P938" s="1263"/>
      <c r="Q938" s="1263"/>
      <c r="R938" s="1263"/>
      <c r="S938" s="1263"/>
      <c r="T938" s="1264"/>
      <c r="U938" s="1409" t="s">
        <v>935</v>
      </c>
      <c r="V938" s="1374"/>
      <c r="W938" s="1374"/>
      <c r="X938" s="1374"/>
      <c r="Y938" s="1374"/>
      <c r="Z938" s="1375"/>
      <c r="AA938" s="1387"/>
      <c r="AB938" s="1294"/>
      <c r="AC938" s="1294"/>
      <c r="AD938" s="1294"/>
      <c r="AE938" s="1294"/>
      <c r="AF938" s="1388"/>
      <c r="AU938" s="2"/>
      <c r="AZ938" s="34"/>
      <c r="BA938" s="34"/>
      <c r="BB938" s="34"/>
      <c r="BC938" s="34"/>
    </row>
    <row r="939" spans="6:55" ht="12.9" customHeight="1">
      <c r="F939" s="1456" t="s">
        <v>1684</v>
      </c>
      <c r="G939" s="1263"/>
      <c r="H939" s="1263"/>
      <c r="I939" s="1263"/>
      <c r="J939" s="1263"/>
      <c r="K939" s="1263"/>
      <c r="L939" s="1263"/>
      <c r="M939" s="1263"/>
      <c r="N939" s="1263"/>
      <c r="O939" s="1263"/>
      <c r="P939" s="1263"/>
      <c r="Q939" s="1263"/>
      <c r="R939" s="1263"/>
      <c r="S939" s="1263"/>
      <c r="T939" s="1264"/>
      <c r="U939" s="1409" t="s">
        <v>935</v>
      </c>
      <c r="V939" s="1374"/>
      <c r="W939" s="1374"/>
      <c r="X939" s="1374"/>
      <c r="Y939" s="1374"/>
      <c r="Z939" s="1375"/>
      <c r="AA939" s="1387"/>
      <c r="AB939" s="1294"/>
      <c r="AC939" s="1294"/>
      <c r="AD939" s="1294"/>
      <c r="AE939" s="1294"/>
      <c r="AF939" s="1388"/>
      <c r="AU939" s="2"/>
      <c r="AZ939" s="34"/>
      <c r="BA939" s="34"/>
      <c r="BB939" s="34"/>
      <c r="BC939" s="34"/>
    </row>
    <row r="940" spans="6:55" ht="12.9" customHeight="1">
      <c r="F940" s="1456" t="s">
        <v>1685</v>
      </c>
      <c r="G940" s="1263"/>
      <c r="H940" s="1263"/>
      <c r="I940" s="1263"/>
      <c r="J940" s="1263"/>
      <c r="K940" s="1263"/>
      <c r="L940" s="1263"/>
      <c r="M940" s="1263"/>
      <c r="N940" s="1263"/>
      <c r="O940" s="1263"/>
      <c r="P940" s="1263"/>
      <c r="Q940" s="1263"/>
      <c r="R940" s="1263"/>
      <c r="S940" s="1263"/>
      <c r="T940" s="1264"/>
      <c r="U940" s="1409" t="s">
        <v>935</v>
      </c>
      <c r="V940" s="1374"/>
      <c r="W940" s="1374"/>
      <c r="X940" s="1374"/>
      <c r="Y940" s="1374"/>
      <c r="Z940" s="1375"/>
      <c r="AA940" s="1387"/>
      <c r="AB940" s="1294"/>
      <c r="AC940" s="1294"/>
      <c r="AD940" s="1294"/>
      <c r="AE940" s="1294"/>
      <c r="AF940" s="1388"/>
      <c r="AU940" s="2"/>
      <c r="AZ940" s="34"/>
      <c r="BA940" s="34"/>
      <c r="BB940" s="34"/>
      <c r="BC940" s="34"/>
    </row>
    <row r="941" spans="6:55" ht="12.9" customHeight="1">
      <c r="F941" s="1456" t="s">
        <v>1686</v>
      </c>
      <c r="G941" s="1263"/>
      <c r="H941" s="1263"/>
      <c r="I941" s="1263"/>
      <c r="J941" s="1263"/>
      <c r="K941" s="1263"/>
      <c r="L941" s="1263"/>
      <c r="M941" s="1263"/>
      <c r="N941" s="1263"/>
      <c r="O941" s="1263"/>
      <c r="P941" s="1263"/>
      <c r="Q941" s="1263"/>
      <c r="R941" s="1263"/>
      <c r="S941" s="1263"/>
      <c r="T941" s="1264"/>
      <c r="U941" s="1409" t="s">
        <v>935</v>
      </c>
      <c r="V941" s="1374"/>
      <c r="W941" s="1374"/>
      <c r="X941" s="1374"/>
      <c r="Y941" s="1374"/>
      <c r="Z941" s="1375"/>
      <c r="AA941" s="1387"/>
      <c r="AB941" s="1294"/>
      <c r="AC941" s="1294"/>
      <c r="AD941" s="1294"/>
      <c r="AE941" s="1294"/>
      <c r="AF941" s="1388"/>
      <c r="AZ941" s="30"/>
      <c r="BA941" s="30"/>
    </row>
    <row r="942" spans="6:55" ht="12.9" customHeight="1">
      <c r="F942" s="178" t="s">
        <v>1687</v>
      </c>
      <c r="G942" s="5"/>
      <c r="H942" s="5"/>
      <c r="I942" s="5"/>
      <c r="J942" s="5"/>
      <c r="K942" s="5"/>
      <c r="L942" s="5"/>
      <c r="M942" s="5"/>
      <c r="N942" s="5"/>
      <c r="O942" s="5"/>
      <c r="P942" s="5"/>
      <c r="Q942" s="5"/>
      <c r="R942" s="5"/>
      <c r="S942" s="5"/>
      <c r="T942" s="46"/>
      <c r="U942" s="1409" t="s">
        <v>935</v>
      </c>
      <c r="V942" s="1374"/>
      <c r="W942" s="1374"/>
      <c r="X942" s="1374"/>
      <c r="Y942" s="1374"/>
      <c r="Z942" s="1375"/>
      <c r="AA942" s="1387"/>
      <c r="AB942" s="1294"/>
      <c r="AC942" s="1294"/>
      <c r="AD942" s="1294"/>
      <c r="AE942" s="1294"/>
      <c r="AF942" s="1388"/>
    </row>
    <row r="943" spans="6:55" ht="12.9" customHeight="1">
      <c r="F943" s="121" t="s">
        <v>1688</v>
      </c>
      <c r="G943" s="5"/>
      <c r="H943" s="5"/>
      <c r="I943" s="5"/>
      <c r="J943" s="5"/>
      <c r="K943" s="5"/>
      <c r="L943" s="5"/>
      <c r="M943" s="5"/>
      <c r="N943" s="5"/>
      <c r="O943" s="5"/>
      <c r="P943" s="5"/>
      <c r="Q943" s="5"/>
      <c r="R943" s="5"/>
      <c r="S943" s="5"/>
      <c r="T943" s="46"/>
      <c r="U943" s="1409" t="s">
        <v>935</v>
      </c>
      <c r="V943" s="1374"/>
      <c r="W943" s="1374"/>
      <c r="X943" s="1374"/>
      <c r="Y943" s="1374"/>
      <c r="Z943" s="1375"/>
      <c r="AA943" s="1387"/>
      <c r="AB943" s="1294"/>
      <c r="AC943" s="1294"/>
      <c r="AD943" s="1294"/>
      <c r="AE943" s="1294"/>
      <c r="AF943" s="1388"/>
      <c r="AZ943" s="30"/>
      <c r="BA943" s="14"/>
    </row>
    <row r="944" spans="6:55" ht="12.9" customHeight="1">
      <c r="F944" s="66" t="s">
        <v>1689</v>
      </c>
      <c r="G944" s="5"/>
      <c r="H944" s="5"/>
      <c r="I944" s="5"/>
      <c r="J944" s="5"/>
      <c r="K944" s="5"/>
      <c r="L944" s="5"/>
      <c r="M944" s="5"/>
      <c r="N944" s="5"/>
      <c r="O944" s="5"/>
      <c r="P944" s="5"/>
      <c r="Q944" s="5"/>
      <c r="R944" s="5"/>
      <c r="S944" s="5"/>
      <c r="T944" s="46"/>
      <c r="U944" s="1409" t="s">
        <v>935</v>
      </c>
      <c r="V944" s="1374"/>
      <c r="W944" s="1374"/>
      <c r="X944" s="1374"/>
      <c r="Y944" s="1374"/>
      <c r="Z944" s="1375"/>
      <c r="AA944" s="1387"/>
      <c r="AB944" s="1294"/>
      <c r="AC944" s="1294"/>
      <c r="AD944" s="1294"/>
      <c r="AE944" s="1294"/>
      <c r="AF944" s="1388"/>
      <c r="AZ944" s="30"/>
      <c r="BA944" s="14"/>
    </row>
    <row r="945" spans="6:55" ht="12.9" customHeight="1">
      <c r="F945" s="1426" t="s">
        <v>1690</v>
      </c>
      <c r="G945" s="1263"/>
      <c r="H945" s="1263"/>
      <c r="I945" s="1263"/>
      <c r="J945" s="1263"/>
      <c r="K945" s="1263"/>
      <c r="L945" s="1263"/>
      <c r="M945" s="1263"/>
      <c r="N945" s="1263"/>
      <c r="O945" s="1263"/>
      <c r="P945" s="1263"/>
      <c r="Q945" s="1263"/>
      <c r="R945" s="1263"/>
      <c r="S945" s="1263"/>
      <c r="T945" s="1264"/>
      <c r="U945" s="1409" t="s">
        <v>935</v>
      </c>
      <c r="V945" s="1374"/>
      <c r="W945" s="1374"/>
      <c r="X945" s="1374"/>
      <c r="Y945" s="1374"/>
      <c r="Z945" s="1375"/>
      <c r="AA945" s="1387"/>
      <c r="AB945" s="1294"/>
      <c r="AC945" s="1294"/>
      <c r="AD945" s="1294"/>
      <c r="AE945" s="1294"/>
      <c r="AF945" s="1388"/>
      <c r="AZ945" s="30"/>
      <c r="BA945" s="14"/>
    </row>
    <row r="946" spans="6:55" ht="12.9" customHeight="1">
      <c r="F946" s="1426" t="s">
        <v>1691</v>
      </c>
      <c r="G946" s="1263"/>
      <c r="H946" s="1263"/>
      <c r="I946" s="1263"/>
      <c r="J946" s="1263"/>
      <c r="K946" s="1263"/>
      <c r="L946" s="1263"/>
      <c r="M946" s="1263"/>
      <c r="N946" s="1263"/>
      <c r="O946" s="1263"/>
      <c r="P946" s="1263"/>
      <c r="Q946" s="1263"/>
      <c r="R946" s="1263"/>
      <c r="S946" s="1263"/>
      <c r="T946" s="1264"/>
      <c r="U946" s="1409" t="s">
        <v>935</v>
      </c>
      <c r="V946" s="1374"/>
      <c r="W946" s="1374"/>
      <c r="X946" s="1374"/>
      <c r="Y946" s="1374"/>
      <c r="Z946" s="1375"/>
      <c r="AA946" s="1387"/>
      <c r="AB946" s="1294"/>
      <c r="AC946" s="1294"/>
      <c r="AD946" s="1294"/>
      <c r="AE946" s="1294"/>
      <c r="AF946" s="1388"/>
      <c r="AZ946" s="30"/>
      <c r="BA946" s="30"/>
    </row>
    <row r="947" spans="6:55" ht="12.9" customHeight="1">
      <c r="F947" s="1456" t="s">
        <v>1692</v>
      </c>
      <c r="G947" s="1263"/>
      <c r="H947" s="1263"/>
      <c r="I947" s="1263"/>
      <c r="J947" s="1263"/>
      <c r="K947" s="1263"/>
      <c r="L947" s="1263"/>
      <c r="M947" s="1263"/>
      <c r="N947" s="1263"/>
      <c r="O947" s="1263"/>
      <c r="P947" s="1263"/>
      <c r="Q947" s="1263"/>
      <c r="R947" s="1263"/>
      <c r="S947" s="1263"/>
      <c r="T947" s="1264"/>
      <c r="U947" s="1409" t="s">
        <v>935</v>
      </c>
      <c r="V947" s="1374"/>
      <c r="W947" s="1374"/>
      <c r="X947" s="1374"/>
      <c r="Y947" s="1374"/>
      <c r="Z947" s="1375"/>
      <c r="AA947" s="1474">
        <v>4078712</v>
      </c>
      <c r="AB947" s="1294"/>
      <c r="AC947" s="1294"/>
      <c r="AD947" s="1294"/>
      <c r="AE947" s="1294"/>
      <c r="AF947" s="1388"/>
      <c r="AZ947" s="30"/>
      <c r="BA947" s="30"/>
    </row>
    <row r="948" spans="6:55" ht="12.9" customHeight="1">
      <c r="F948" s="1456" t="s">
        <v>1693</v>
      </c>
      <c r="G948" s="1263"/>
      <c r="H948" s="1263"/>
      <c r="I948" s="1263"/>
      <c r="J948" s="1263"/>
      <c r="K948" s="1263"/>
      <c r="L948" s="1263"/>
      <c r="M948" s="1263"/>
      <c r="N948" s="1263"/>
      <c r="O948" s="1263"/>
      <c r="P948" s="1263"/>
      <c r="Q948" s="1263"/>
      <c r="R948" s="1263"/>
      <c r="S948" s="1263"/>
      <c r="T948" s="1264"/>
      <c r="U948" s="1409" t="s">
        <v>935</v>
      </c>
      <c r="V948" s="1374"/>
      <c r="W948" s="1374"/>
      <c r="X948" s="1374"/>
      <c r="Y948" s="1374"/>
      <c r="Z948" s="1375"/>
      <c r="AA948" s="1387"/>
      <c r="AB948" s="1294"/>
      <c r="AC948" s="1294"/>
      <c r="AD948" s="1294"/>
      <c r="AE948" s="1294"/>
      <c r="AF948" s="1388"/>
      <c r="AZ948" s="30"/>
      <c r="BA948" s="30"/>
    </row>
    <row r="949" spans="6:55" ht="12.9" customHeight="1">
      <c r="F949" s="1456" t="s">
        <v>1694</v>
      </c>
      <c r="G949" s="1263"/>
      <c r="H949" s="1263"/>
      <c r="I949" s="1263"/>
      <c r="J949" s="1263"/>
      <c r="K949" s="1263"/>
      <c r="L949" s="1263"/>
      <c r="M949" s="1263"/>
      <c r="N949" s="1263"/>
      <c r="O949" s="1263"/>
      <c r="P949" s="1263"/>
      <c r="Q949" s="1263"/>
      <c r="R949" s="1263"/>
      <c r="S949" s="1263"/>
      <c r="T949" s="1264"/>
      <c r="U949" s="1409" t="s">
        <v>935</v>
      </c>
      <c r="V949" s="1374"/>
      <c r="W949" s="1374"/>
      <c r="X949" s="1374"/>
      <c r="Y949" s="1374"/>
      <c r="Z949" s="1375"/>
      <c r="AA949" s="1387"/>
      <c r="AB949" s="1294"/>
      <c r="AC949" s="1294"/>
      <c r="AD949" s="1294"/>
      <c r="AE949" s="1294"/>
      <c r="AF949" s="1388"/>
      <c r="AZ949" s="34"/>
      <c r="BA949" s="34"/>
      <c r="BB949" s="14"/>
      <c r="BC949" s="14"/>
    </row>
    <row r="950" spans="6:55" ht="12.9" customHeight="1">
      <c r="F950" s="121" t="s">
        <v>1695</v>
      </c>
      <c r="G950" s="5"/>
      <c r="H950" s="5"/>
      <c r="I950" s="5"/>
      <c r="J950" s="5"/>
      <c r="K950" s="5"/>
      <c r="L950" s="5"/>
      <c r="M950" s="5"/>
      <c r="N950" s="5"/>
      <c r="O950" s="5"/>
      <c r="P950" s="5"/>
      <c r="Q950" s="5"/>
      <c r="R950" s="5"/>
      <c r="S950" s="5"/>
      <c r="T950" s="46"/>
      <c r="U950" s="1409" t="s">
        <v>935</v>
      </c>
      <c r="V950" s="1374"/>
      <c r="W950" s="1374"/>
      <c r="X950" s="1374"/>
      <c r="Y950" s="1374"/>
      <c r="Z950" s="1375"/>
      <c r="AA950" s="1387"/>
      <c r="AB950" s="1294"/>
      <c r="AC950" s="1294"/>
      <c r="AD950" s="1294"/>
      <c r="AE950" s="1294"/>
      <c r="AF950" s="1388"/>
      <c r="AZ950" s="34"/>
      <c r="BA950" s="34"/>
      <c r="BB950" s="14"/>
      <c r="BC950" s="14"/>
    </row>
    <row r="951" spans="6:55" ht="12.9" customHeight="1">
      <c r="F951" s="1426" t="s">
        <v>1696</v>
      </c>
      <c r="G951" s="1263"/>
      <c r="H951" s="1263"/>
      <c r="I951" s="1263"/>
      <c r="J951" s="1263"/>
      <c r="K951" s="1263"/>
      <c r="L951" s="1263"/>
      <c r="M951" s="1263"/>
      <c r="N951" s="1263"/>
      <c r="O951" s="1263"/>
      <c r="P951" s="1263"/>
      <c r="Q951" s="1263"/>
      <c r="R951" s="1263"/>
      <c r="S951" s="1263"/>
      <c r="T951" s="1264"/>
      <c r="U951" s="1409" t="s">
        <v>935</v>
      </c>
      <c r="V951" s="1374"/>
      <c r="W951" s="1374"/>
      <c r="X951" s="1374"/>
      <c r="Y951" s="1374"/>
      <c r="Z951" s="1375"/>
      <c r="AA951" s="1387"/>
      <c r="AB951" s="1294"/>
      <c r="AC951" s="1294"/>
      <c r="AD951" s="1294"/>
      <c r="AE951" s="1294"/>
      <c r="AF951" s="1388"/>
      <c r="AZ951" s="34"/>
      <c r="BA951" s="34"/>
      <c r="BB951" s="34"/>
      <c r="BC951" s="34"/>
    </row>
    <row r="952" spans="6:55" ht="12.9" customHeight="1">
      <c r="F952" s="121" t="s">
        <v>1697</v>
      </c>
      <c r="G952" s="5"/>
      <c r="H952" s="5"/>
      <c r="I952" s="5"/>
      <c r="J952" s="5"/>
      <c r="K952" s="5"/>
      <c r="L952" s="5"/>
      <c r="M952" s="5"/>
      <c r="N952" s="5"/>
      <c r="O952" s="5"/>
      <c r="P952" s="5"/>
      <c r="Q952" s="5"/>
      <c r="R952" s="5"/>
      <c r="S952" s="5"/>
      <c r="T952" s="46"/>
      <c r="U952" s="1409" t="s">
        <v>935</v>
      </c>
      <c r="V952" s="1374"/>
      <c r="W952" s="1374"/>
      <c r="X952" s="1374"/>
      <c r="Y952" s="1374"/>
      <c r="Z952" s="1375"/>
      <c r="AA952" s="1387"/>
      <c r="AB952" s="1294"/>
      <c r="AC952" s="1294"/>
      <c r="AD952" s="1294"/>
      <c r="AE952" s="1294"/>
      <c r="AF952" s="1388"/>
      <c r="AZ952" s="34"/>
      <c r="BA952" s="34"/>
      <c r="BB952" s="34"/>
      <c r="BC952" s="34"/>
    </row>
    <row r="953" spans="6:55" ht="12.9" customHeight="1">
      <c r="F953" s="1426" t="s">
        <v>1698</v>
      </c>
      <c r="G953" s="1263"/>
      <c r="H953" s="1263"/>
      <c r="I953" s="1263"/>
      <c r="J953" s="1263"/>
      <c r="K953" s="1263"/>
      <c r="L953" s="1263"/>
      <c r="M953" s="1263"/>
      <c r="N953" s="1263"/>
      <c r="O953" s="1263"/>
      <c r="P953" s="1263"/>
      <c r="Q953" s="1263"/>
      <c r="R953" s="1263"/>
      <c r="S953" s="1263"/>
      <c r="T953" s="1264"/>
      <c r="U953" s="1409" t="s">
        <v>935</v>
      </c>
      <c r="V953" s="1374"/>
      <c r="W953" s="1374"/>
      <c r="X953" s="1374"/>
      <c r="Y953" s="1374"/>
      <c r="Z953" s="1375"/>
      <c r="AA953" s="1387"/>
      <c r="AB953" s="1294"/>
      <c r="AC953" s="1294"/>
      <c r="AD953" s="1294"/>
      <c r="AE953" s="1294"/>
      <c r="AF953" s="1388"/>
      <c r="AZ953" s="34"/>
      <c r="BA953" s="34"/>
      <c r="BB953" s="34"/>
      <c r="BC953" s="34"/>
    </row>
    <row r="954" spans="6:55" ht="12.9" customHeight="1">
      <c r="F954" s="45" t="s">
        <v>1699</v>
      </c>
      <c r="G954" s="5"/>
      <c r="H954" s="5"/>
      <c r="I954" s="5"/>
      <c r="J954" s="5"/>
      <c r="K954" s="5"/>
      <c r="L954" s="5"/>
      <c r="M954" s="5"/>
      <c r="N954" s="5"/>
      <c r="O954" s="5"/>
      <c r="P954" s="1409" t="s">
        <v>811</v>
      </c>
      <c r="Q954" s="1374"/>
      <c r="R954" s="1374"/>
      <c r="S954" s="1374"/>
      <c r="T954" s="1375"/>
      <c r="U954" s="1409" t="s">
        <v>935</v>
      </c>
      <c r="V954" s="1374"/>
      <c r="W954" s="1374"/>
      <c r="X954" s="1374"/>
      <c r="Y954" s="1374"/>
      <c r="Z954" s="1375"/>
      <c r="AA954" s="1387"/>
      <c r="AB954" s="1294"/>
      <c r="AC954" s="1294"/>
      <c r="AD954" s="1294"/>
      <c r="AE954" s="1294"/>
      <c r="AF954" s="1388"/>
      <c r="AZ954" s="34"/>
      <c r="BA954" s="34"/>
      <c r="BB954" s="34"/>
      <c r="BC954" s="34"/>
    </row>
    <row r="955" spans="6:55" ht="12.9" customHeight="1">
      <c r="F955" s="1456" t="s">
        <v>1700</v>
      </c>
      <c r="G955" s="1263"/>
      <c r="H955" s="1264"/>
      <c r="I955" s="1494" t="s">
        <v>1353</v>
      </c>
      <c r="J955" s="1374"/>
      <c r="K955" s="1374"/>
      <c r="L955" s="1374"/>
      <c r="M955" s="1374"/>
      <c r="N955" s="1374"/>
      <c r="O955" s="1374"/>
      <c r="P955" s="1374"/>
      <c r="Q955" s="1374"/>
      <c r="R955" s="1374"/>
      <c r="S955" s="1374"/>
      <c r="T955" s="1375"/>
      <c r="U955" s="1409" t="s">
        <v>935</v>
      </c>
      <c r="V955" s="1374"/>
      <c r="W955" s="1374"/>
      <c r="X955" s="1374"/>
      <c r="Y955" s="1374"/>
      <c r="Z955" s="1375"/>
      <c r="AA955" s="1387"/>
      <c r="AB955" s="1294"/>
      <c r="AC955" s="1294"/>
      <c r="AD955" s="1294"/>
      <c r="AE955" s="1294"/>
      <c r="AF955" s="1388"/>
      <c r="AZ955" s="34"/>
      <c r="BA955" s="34"/>
      <c r="BB955" s="34"/>
      <c r="BC955" s="34"/>
    </row>
    <row r="956" spans="6:55" ht="12.9" customHeight="1">
      <c r="F956" s="45" t="s">
        <v>1183</v>
      </c>
      <c r="G956" s="48"/>
      <c r="H956" s="48"/>
      <c r="I956" s="1494" t="s">
        <v>2762</v>
      </c>
      <c r="J956" s="1374"/>
      <c r="K956" s="1374"/>
      <c r="L956" s="1374"/>
      <c r="M956" s="1374"/>
      <c r="N956" s="1374"/>
      <c r="O956" s="1374"/>
      <c r="P956" s="1374"/>
      <c r="Q956" s="1374"/>
      <c r="R956" s="1374"/>
      <c r="S956" s="1374"/>
      <c r="T956" s="1375"/>
      <c r="U956" s="1409" t="s">
        <v>935</v>
      </c>
      <c r="V956" s="1374"/>
      <c r="W956" s="1374"/>
      <c r="X956" s="1374"/>
      <c r="Y956" s="1374"/>
      <c r="Z956" s="1375"/>
      <c r="AA956" s="1387">
        <v>346646</v>
      </c>
      <c r="AB956" s="1294"/>
      <c r="AC956" s="1294"/>
      <c r="AD956" s="1294"/>
      <c r="AE956" s="1294"/>
      <c r="AF956" s="1388"/>
      <c r="AZ956" s="34"/>
      <c r="BA956" s="34"/>
      <c r="BB956" s="34"/>
      <c r="BC956" s="34"/>
    </row>
    <row r="957" spans="6:55" ht="12.9" customHeight="1">
      <c r="F957" s="45" t="s">
        <v>1701</v>
      </c>
      <c r="G957" s="48"/>
      <c r="H957" s="48"/>
      <c r="I957" s="1494" t="s">
        <v>2763</v>
      </c>
      <c r="J957" s="1374"/>
      <c r="K957" s="1374"/>
      <c r="L957" s="1374"/>
      <c r="M957" s="1374"/>
      <c r="N957" s="1374"/>
      <c r="O957" s="1374"/>
      <c r="P957" s="1374"/>
      <c r="Q957" s="1374"/>
      <c r="R957" s="1374"/>
      <c r="S957" s="1374"/>
      <c r="T957" s="1375"/>
      <c r="U957" s="1409" t="s">
        <v>935</v>
      </c>
      <c r="V957" s="1374"/>
      <c r="W957" s="1374"/>
      <c r="X957" s="1374"/>
      <c r="Y957" s="1374"/>
      <c r="Z957" s="1375"/>
      <c r="AA957" s="1474">
        <v>3142830</v>
      </c>
      <c r="AB957" s="1294"/>
      <c r="AC957" s="1294"/>
      <c r="AD957" s="1294"/>
      <c r="AE957" s="1294"/>
      <c r="AF957" s="1388"/>
      <c r="AV957" s="2"/>
      <c r="AW957" s="2"/>
      <c r="AX957" s="2"/>
      <c r="AY957" s="2"/>
      <c r="AZ957" s="34"/>
      <c r="BA957" s="34"/>
      <c r="BB957" s="34"/>
      <c r="BC957" s="34"/>
    </row>
    <row r="958" spans="6:55" ht="12.9" customHeight="1">
      <c r="F958" s="47" t="s">
        <v>345</v>
      </c>
      <c r="G958" s="48"/>
      <c r="H958" s="48"/>
      <c r="I958" s="1550" t="s">
        <v>1353</v>
      </c>
      <c r="J958" s="1374"/>
      <c r="K958" s="1374"/>
      <c r="L958" s="1374"/>
      <c r="M958" s="1374"/>
      <c r="N958" s="1374"/>
      <c r="O958" s="1374"/>
      <c r="P958" s="1374"/>
      <c r="Q958" s="1374"/>
      <c r="R958" s="1374"/>
      <c r="S958" s="1374"/>
      <c r="T958" s="1375"/>
      <c r="U958" s="1409" t="s">
        <v>935</v>
      </c>
      <c r="V958" s="1374"/>
      <c r="W958" s="1374"/>
      <c r="X958" s="1374"/>
      <c r="Y958" s="1374"/>
      <c r="Z958" s="1375"/>
      <c r="AA958" s="1387"/>
      <c r="AB958" s="1294"/>
      <c r="AC958" s="1294"/>
      <c r="AD958" s="1294"/>
      <c r="AE958" s="1294"/>
      <c r="AF958" s="1388"/>
      <c r="AU958" s="2"/>
      <c r="AZ958" s="34"/>
      <c r="BA958" s="34"/>
      <c r="BB958" s="34"/>
      <c r="BC958" s="34"/>
    </row>
    <row r="959" spans="6:55" ht="12.9" customHeight="1">
      <c r="F959" s="47" t="s">
        <v>345</v>
      </c>
      <c r="G959" s="48"/>
      <c r="H959" s="48"/>
      <c r="I959" s="1550" t="s">
        <v>1353</v>
      </c>
      <c r="J959" s="1374"/>
      <c r="K959" s="1374"/>
      <c r="L959" s="1374"/>
      <c r="M959" s="1374"/>
      <c r="N959" s="1374"/>
      <c r="O959" s="1374"/>
      <c r="P959" s="1374"/>
      <c r="Q959" s="1374"/>
      <c r="R959" s="1374"/>
      <c r="S959" s="1374"/>
      <c r="T959" s="1375"/>
      <c r="U959" s="1409" t="s">
        <v>935</v>
      </c>
      <c r="V959" s="1374"/>
      <c r="W959" s="1374"/>
      <c r="X959" s="1374"/>
      <c r="Y959" s="1374"/>
      <c r="Z959" s="1375"/>
      <c r="AA959" s="1387"/>
      <c r="AB959" s="1294"/>
      <c r="AC959" s="1294"/>
      <c r="AD959" s="1294"/>
      <c r="AE959" s="1294"/>
      <c r="AF959" s="1388"/>
      <c r="AU959" s="2"/>
      <c r="AZ959" s="34"/>
      <c r="BA959" s="34"/>
      <c r="BB959" s="34"/>
      <c r="BC959" s="34"/>
    </row>
    <row r="960" spans="6:55" ht="12.9" customHeight="1">
      <c r="AU960" s="2"/>
      <c r="AZ960" s="34"/>
      <c r="BA960" s="34"/>
      <c r="BB960" s="34"/>
      <c r="BC960" s="34"/>
    </row>
    <row r="961" spans="1:64" ht="12.9" customHeight="1">
      <c r="A961" s="2" t="s">
        <v>1031</v>
      </c>
      <c r="C961" s="2" t="s">
        <v>359</v>
      </c>
      <c r="AZ961" s="34"/>
      <c r="BA961" s="34"/>
      <c r="BB961" s="34"/>
      <c r="BC961" s="34"/>
    </row>
    <row r="962" spans="1:64" ht="12.9" customHeight="1">
      <c r="B962" s="2"/>
      <c r="C962" s="22" t="s">
        <v>1702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 customHeight="1">
      <c r="AZ963" s="34"/>
      <c r="BA963" s="34"/>
      <c r="BB963" s="34"/>
      <c r="BC963" s="34"/>
    </row>
    <row r="964" spans="1:64" ht="12.9" customHeight="1">
      <c r="C964" s="66" t="s">
        <v>1703</v>
      </c>
      <c r="D964" s="5"/>
      <c r="E964" s="5"/>
      <c r="F964" s="5"/>
      <c r="G964" s="5"/>
      <c r="H964" s="5"/>
      <c r="I964" s="5"/>
      <c r="J964" s="5"/>
      <c r="K964" s="5"/>
      <c r="L964" s="46"/>
      <c r="M964" s="1525"/>
      <c r="N964" s="1374"/>
      <c r="O964" s="1374"/>
      <c r="P964" s="1374"/>
      <c r="Q964" s="1374"/>
      <c r="R964" s="1374"/>
      <c r="S964" s="1375"/>
      <c r="U964" s="66" t="s">
        <v>1703</v>
      </c>
      <c r="V964" s="5"/>
      <c r="W964" s="5"/>
      <c r="X964" s="5"/>
      <c r="Y964" s="5"/>
      <c r="Z964" s="5"/>
      <c r="AA964" s="5"/>
      <c r="AB964" s="5"/>
      <c r="AC964" s="5"/>
      <c r="AD964" s="46"/>
      <c r="AE964" s="1525"/>
      <c r="AF964" s="1374"/>
      <c r="AG964" s="1374"/>
      <c r="AH964" s="1374"/>
      <c r="AI964" s="1374"/>
      <c r="AJ964" s="1374"/>
      <c r="AK964" s="1375"/>
      <c r="AZ964" s="34"/>
      <c r="BA964" s="34"/>
      <c r="BB964" s="34"/>
      <c r="BC964" s="34"/>
    </row>
    <row r="965" spans="1:64" ht="12.9" customHeight="1">
      <c r="C965" s="66" t="s">
        <v>1704</v>
      </c>
      <c r="D965" s="5"/>
      <c r="E965" s="5"/>
      <c r="F965" s="5"/>
      <c r="G965" s="5"/>
      <c r="H965" s="5"/>
      <c r="I965" s="5"/>
      <c r="J965" s="5"/>
      <c r="K965" s="5"/>
      <c r="L965" s="46"/>
      <c r="M965" s="1594"/>
      <c r="N965" s="1374"/>
      <c r="O965" s="1374"/>
      <c r="P965" s="1374"/>
      <c r="Q965" s="1374"/>
      <c r="R965" s="1374"/>
      <c r="S965" s="1375"/>
      <c r="U965" s="66" t="s">
        <v>1704</v>
      </c>
      <c r="V965" s="5"/>
      <c r="W965" s="5"/>
      <c r="X965" s="5"/>
      <c r="Y965" s="5"/>
      <c r="Z965" s="5"/>
      <c r="AA965" s="5"/>
      <c r="AB965" s="5"/>
      <c r="AC965" s="5"/>
      <c r="AD965" s="46"/>
      <c r="AE965" s="1594"/>
      <c r="AF965" s="1374"/>
      <c r="AG965" s="1374"/>
      <c r="AH965" s="1374"/>
      <c r="AI965" s="1374"/>
      <c r="AJ965" s="1374"/>
      <c r="AK965" s="1375"/>
      <c r="AZ965" s="34"/>
      <c r="BA965" s="34"/>
      <c r="BB965" s="34"/>
      <c r="BC965" s="34"/>
    </row>
    <row r="966" spans="1:64" ht="12.9" customHeight="1">
      <c r="C966" s="66" t="s">
        <v>1705</v>
      </c>
      <c r="D966" s="5"/>
      <c r="E966" s="5"/>
      <c r="J966" s="1547" t="s">
        <v>444</v>
      </c>
      <c r="K966" s="1374"/>
      <c r="L966" s="1374"/>
      <c r="M966" s="1374"/>
      <c r="N966" s="1374"/>
      <c r="O966" s="1374"/>
      <c r="P966" s="1374"/>
      <c r="Q966" s="1374"/>
      <c r="R966" s="1374"/>
      <c r="S966" s="1375"/>
      <c r="U966" s="66" t="s">
        <v>1705</v>
      </c>
      <c r="V966" s="5"/>
      <c r="W966" s="5"/>
      <c r="AB966" s="1547" t="s">
        <v>444</v>
      </c>
      <c r="AC966" s="1374"/>
      <c r="AD966" s="1374"/>
      <c r="AE966" s="1374"/>
      <c r="AF966" s="1374"/>
      <c r="AG966" s="1374"/>
      <c r="AH966" s="1374"/>
      <c r="AI966" s="1374"/>
      <c r="AJ966" s="1374"/>
      <c r="AK966" s="1375"/>
      <c r="AZ966" s="34"/>
      <c r="BA966" s="34"/>
      <c r="BB966" s="34"/>
      <c r="BC966" s="34"/>
    </row>
    <row r="967" spans="1:64" ht="12.9" customHeight="1">
      <c r="C967" s="66" t="s">
        <v>1706</v>
      </c>
      <c r="D967" s="5"/>
      <c r="E967" s="5"/>
      <c r="F967" s="5"/>
      <c r="G967" s="5"/>
      <c r="H967" s="5"/>
      <c r="I967" s="5"/>
      <c r="J967" s="5"/>
      <c r="K967" s="5"/>
      <c r="L967" s="46"/>
      <c r="M967" s="1384"/>
      <c r="N967" s="1374"/>
      <c r="O967" s="1374"/>
      <c r="P967" s="1374"/>
      <c r="Q967" s="1374"/>
      <c r="R967" s="1374"/>
      <c r="S967" s="1375"/>
      <c r="U967" s="66" t="s">
        <v>1706</v>
      </c>
      <c r="V967" s="5"/>
      <c r="W967" s="5"/>
      <c r="X967" s="5"/>
      <c r="Y967" s="5"/>
      <c r="Z967" s="5"/>
      <c r="AA967" s="5"/>
      <c r="AB967" s="5"/>
      <c r="AC967" s="5"/>
      <c r="AD967" s="46"/>
      <c r="AE967" s="1589"/>
      <c r="AF967" s="1374"/>
      <c r="AG967" s="1374"/>
      <c r="AH967" s="1374"/>
      <c r="AI967" s="1374"/>
      <c r="AJ967" s="1374"/>
      <c r="AK967" s="1375"/>
      <c r="AZ967" s="34"/>
      <c r="BA967" s="34"/>
      <c r="BB967" s="34"/>
      <c r="BC967" s="34"/>
    </row>
    <row r="968" spans="1:64" ht="12.9" customHeight="1">
      <c r="C968" s="66" t="s">
        <v>1707</v>
      </c>
      <c r="D968" s="5"/>
      <c r="E968" s="5"/>
      <c r="F968" s="5"/>
      <c r="G968" s="5"/>
      <c r="H968" s="5"/>
      <c r="I968" s="5"/>
      <c r="J968" s="5"/>
      <c r="K968" s="5"/>
      <c r="L968" s="46"/>
      <c r="M968" s="1473"/>
      <c r="N968" s="1374"/>
      <c r="O968" s="1374"/>
      <c r="P968" s="1374"/>
      <c r="Q968" s="1374"/>
      <c r="R968" s="1374"/>
      <c r="S968" s="1375"/>
      <c r="U968" s="66" t="s">
        <v>1707</v>
      </c>
      <c r="V968" s="5"/>
      <c r="W968" s="5"/>
      <c r="X968" s="5"/>
      <c r="Y968" s="5"/>
      <c r="Z968" s="5"/>
      <c r="AA968" s="5"/>
      <c r="AB968" s="5"/>
      <c r="AC968" s="5"/>
      <c r="AD968" s="46"/>
      <c r="AE968" s="1473"/>
      <c r="AF968" s="1374"/>
      <c r="AG968" s="1374"/>
      <c r="AH968" s="1374"/>
      <c r="AI968" s="1374"/>
      <c r="AJ968" s="1374"/>
      <c r="AK968" s="1375"/>
      <c r="AV968" s="2"/>
      <c r="AW968" s="2"/>
      <c r="AX968" s="2"/>
      <c r="AY968" s="2"/>
      <c r="AZ968" s="34"/>
      <c r="BA968" s="34"/>
      <c r="BB968" s="34"/>
      <c r="BC968" s="34"/>
    </row>
    <row r="969" spans="1:64" ht="12.9" customHeight="1">
      <c r="C969" s="66" t="s">
        <v>1708</v>
      </c>
      <c r="D969" s="5"/>
      <c r="E969" s="5"/>
      <c r="F969" s="5"/>
      <c r="G969" s="5"/>
      <c r="H969" s="5"/>
      <c r="I969" s="5"/>
      <c r="J969" s="5"/>
      <c r="K969" s="5"/>
      <c r="L969" s="46"/>
      <c r="M969" s="1387"/>
      <c r="N969" s="1294"/>
      <c r="O969" s="1294"/>
      <c r="P969" s="1294"/>
      <c r="Q969" s="1294"/>
      <c r="R969" s="1294"/>
      <c r="S969" s="1388"/>
      <c r="U969" s="66" t="s">
        <v>1708</v>
      </c>
      <c r="V969" s="5"/>
      <c r="W969" s="5"/>
      <c r="X969" s="5"/>
      <c r="Y969" s="5"/>
      <c r="Z969" s="5"/>
      <c r="AA969" s="5"/>
      <c r="AB969" s="5"/>
      <c r="AC969" s="5"/>
      <c r="AD969" s="46"/>
      <c r="AE969" s="1387"/>
      <c r="AF969" s="1294"/>
      <c r="AG969" s="1294"/>
      <c r="AH969" s="1294"/>
      <c r="AI969" s="1294"/>
      <c r="AJ969" s="1294"/>
      <c r="AK969" s="1388"/>
      <c r="AV969" s="2"/>
      <c r="AW969" s="2"/>
      <c r="AX969" s="2"/>
      <c r="AY969" s="2"/>
      <c r="AZ969" s="34"/>
      <c r="BA969" s="34"/>
      <c r="BB969" s="34"/>
      <c r="BC969" s="34"/>
    </row>
    <row r="970" spans="1:64" ht="12.9" customHeight="1">
      <c r="C970" s="66" t="s">
        <v>1709</v>
      </c>
      <c r="D970" s="5"/>
      <c r="E970" s="5"/>
      <c r="F970" s="5"/>
      <c r="G970" s="5"/>
      <c r="H970" s="5"/>
      <c r="I970" s="5"/>
      <c r="J970" s="5"/>
      <c r="K970" s="5"/>
      <c r="L970" s="46"/>
      <c r="M970" s="1387"/>
      <c r="N970" s="1294"/>
      <c r="O970" s="1294"/>
      <c r="P970" s="1294"/>
      <c r="Q970" s="1294"/>
      <c r="R970" s="1294"/>
      <c r="S970" s="1388"/>
      <c r="U970" s="66" t="s">
        <v>1709</v>
      </c>
      <c r="V970" s="5"/>
      <c r="W970" s="5"/>
      <c r="X970" s="5"/>
      <c r="Y970" s="5"/>
      <c r="Z970" s="5"/>
      <c r="AA970" s="5"/>
      <c r="AB970" s="5"/>
      <c r="AC970" s="5"/>
      <c r="AD970" s="46"/>
      <c r="AE970" s="1387"/>
      <c r="AF970" s="1294"/>
      <c r="AG970" s="1294"/>
      <c r="AH970" s="1294"/>
      <c r="AI970" s="1294"/>
      <c r="AJ970" s="1294"/>
      <c r="AK970" s="1388"/>
      <c r="AV970" s="2"/>
      <c r="AW970" s="2"/>
      <c r="AX970" s="2"/>
      <c r="AY970" s="2"/>
      <c r="AZ970" s="34"/>
      <c r="BB970" s="34"/>
      <c r="BC970" s="34"/>
    </row>
    <row r="971" spans="1:64" ht="12.9" customHeight="1">
      <c r="C971" s="121" t="s">
        <v>1340</v>
      </c>
      <c r="D971" s="5"/>
      <c r="E971" s="5"/>
      <c r="F971" s="5"/>
      <c r="G971" s="5"/>
      <c r="H971" s="5"/>
      <c r="I971" s="5"/>
      <c r="J971" s="5"/>
      <c r="K971" s="5"/>
      <c r="L971" s="46"/>
      <c r="M971" s="1483"/>
      <c r="N971" s="1374"/>
      <c r="O971" s="1374"/>
      <c r="P971" s="1374"/>
      <c r="Q971" s="1374"/>
      <c r="R971" s="1374"/>
      <c r="S971" s="1375"/>
      <c r="U971" s="121" t="s">
        <v>1340</v>
      </c>
      <c r="V971" s="5"/>
      <c r="W971" s="5"/>
      <c r="X971" s="5"/>
      <c r="Y971" s="5"/>
      <c r="Z971" s="5"/>
      <c r="AA971" s="5"/>
      <c r="AB971" s="5"/>
      <c r="AC971" s="5"/>
      <c r="AD971" s="46"/>
      <c r="AE971" s="1483"/>
      <c r="AF971" s="1374"/>
      <c r="AG971" s="1374"/>
      <c r="AH971" s="1374"/>
      <c r="AI971" s="1374"/>
      <c r="AJ971" s="1374"/>
      <c r="AK971" s="1375"/>
      <c r="AZ971" s="34"/>
      <c r="BB971" s="34"/>
      <c r="BC971" s="34"/>
      <c r="BD971" s="34"/>
      <c r="BE971" s="34"/>
      <c r="BF971" s="34"/>
      <c r="BG971" s="34"/>
      <c r="BH971" s="34"/>
      <c r="BI971" s="34"/>
      <c r="BJ971" s="34"/>
      <c r="BK971" s="34"/>
      <c r="BL971" s="34"/>
    </row>
    <row r="972" spans="1:64" ht="12.9" customHeight="1">
      <c r="AZ972" s="34"/>
      <c r="BB972" s="34"/>
      <c r="BC972" s="34"/>
      <c r="BD972" s="34"/>
      <c r="BE972" s="34"/>
      <c r="BF972" s="34"/>
      <c r="BG972" s="34"/>
      <c r="BH972" s="34"/>
      <c r="BI972" s="34"/>
      <c r="BJ972" s="34"/>
      <c r="BK972" s="34"/>
      <c r="BL972" s="34"/>
    </row>
    <row r="973" spans="1:64" ht="12.9" customHeight="1">
      <c r="A973" s="2" t="s">
        <v>1106</v>
      </c>
      <c r="C973" s="2" t="s">
        <v>1710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 customHeight="1">
      <c r="B974" s="2"/>
      <c r="C974" s="22" t="s">
        <v>1711</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Z974" s="34"/>
      <c r="BB974" s="34"/>
      <c r="BC974" s="34"/>
      <c r="BD974" s="34"/>
      <c r="BE974" s="34"/>
      <c r="BF974" s="34"/>
      <c r="BG974" s="34"/>
      <c r="BH974" s="34"/>
      <c r="BI974" s="34"/>
      <c r="BJ974" s="34"/>
      <c r="BK974" s="34"/>
      <c r="BL974" s="34"/>
    </row>
    <row r="975" spans="1:64" s="14" customFormat="1" ht="12.9" customHeight="1">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Z975" s="34"/>
      <c r="BB975" s="34"/>
      <c r="BC975" s="34"/>
      <c r="BD975" s="34"/>
      <c r="BE975" s="34"/>
      <c r="BF975" s="34"/>
      <c r="BG975" s="34"/>
      <c r="BH975" s="34"/>
      <c r="BI975" s="34"/>
      <c r="BJ975" s="34"/>
      <c r="BK975" s="34"/>
      <c r="BL975" s="34"/>
    </row>
    <row r="976" spans="1:64" s="14" customFormat="1" ht="12.9" customHeight="1">
      <c r="F976" s="45" t="s">
        <v>1712</v>
      </c>
      <c r="G976" s="5"/>
      <c r="H976" s="5"/>
      <c r="I976" s="5"/>
      <c r="J976" s="5"/>
      <c r="K976" s="5"/>
      <c r="L976" s="46"/>
      <c r="M976" s="1373"/>
      <c r="N976" s="1374"/>
      <c r="O976" s="1374"/>
      <c r="P976" s="1374"/>
      <c r="Q976" s="1374"/>
      <c r="R976" s="1374"/>
      <c r="S976" s="1375"/>
      <c r="T976" s="66" t="s">
        <v>1713</v>
      </c>
      <c r="U976" s="5"/>
      <c r="V976" s="5"/>
      <c r="W976" s="5"/>
      <c r="X976" s="5"/>
      <c r="Y976" s="5"/>
      <c r="Z976" s="46"/>
      <c r="AA976" s="1373"/>
      <c r="AB976" s="1374"/>
      <c r="AC976" s="1374"/>
      <c r="AD976" s="1374"/>
      <c r="AE976" s="1374"/>
      <c r="AF976" s="1374"/>
      <c r="AG976" s="1375"/>
      <c r="AU976" s="68"/>
      <c r="AZ976" s="34"/>
      <c r="BB976" s="34"/>
      <c r="BC976" s="34"/>
      <c r="BD976" s="34"/>
      <c r="BE976" s="34"/>
      <c r="BF976" s="34"/>
      <c r="BG976" s="34"/>
      <c r="BH976" s="34"/>
      <c r="BI976" s="34"/>
      <c r="BJ976" s="34"/>
      <c r="BK976" s="34"/>
      <c r="BL976" s="34"/>
    </row>
    <row r="977" spans="1:64" s="14" customFormat="1" ht="12.9" customHeight="1">
      <c r="F977" s="45" t="s">
        <v>1714</v>
      </c>
      <c r="G977" s="5"/>
      <c r="H977" s="5"/>
      <c r="I977" s="5"/>
      <c r="J977" s="5"/>
      <c r="K977" s="5"/>
      <c r="L977" s="46"/>
      <c r="M977" s="1373"/>
      <c r="N977" s="1374"/>
      <c r="O977" s="1374"/>
      <c r="P977" s="1374"/>
      <c r="Q977" s="1374"/>
      <c r="R977" s="1374"/>
      <c r="S977" s="1375"/>
      <c r="T977" s="66" t="s">
        <v>1715</v>
      </c>
      <c r="U977" s="5"/>
      <c r="V977" s="5"/>
      <c r="W977" s="5"/>
      <c r="X977" s="5"/>
      <c r="Y977" s="5"/>
      <c r="Z977" s="46"/>
      <c r="AA977" s="1373"/>
      <c r="AB977" s="1374"/>
      <c r="AC977" s="1374"/>
      <c r="AD977" s="1374"/>
      <c r="AE977" s="1374"/>
      <c r="AF977" s="1374"/>
      <c r="AG977" s="1375"/>
      <c r="AU977" s="68"/>
      <c r="AZ977" s="34"/>
      <c r="BB977" s="34"/>
      <c r="BC977" s="34"/>
      <c r="BD977" s="34"/>
      <c r="BE977" s="34"/>
      <c r="BJ977" s="34"/>
      <c r="BK977" s="34"/>
      <c r="BL977" s="34"/>
    </row>
    <row r="978" spans="1:64" s="14" customFormat="1" ht="12.9" customHeight="1">
      <c r="F978" s="45" t="s">
        <v>1716</v>
      </c>
      <c r="G978" s="5"/>
      <c r="H978" s="5"/>
      <c r="I978" s="5"/>
      <c r="J978" s="5"/>
      <c r="K978" s="5"/>
      <c r="L978" s="46"/>
      <c r="M978" s="1657" t="s">
        <v>935</v>
      </c>
      <c r="N978" s="1374"/>
      <c r="O978" s="1374"/>
      <c r="P978" s="1374"/>
      <c r="Q978" s="1374"/>
      <c r="R978" s="1374"/>
      <c r="S978" s="1375"/>
      <c r="T978" s="45" t="s">
        <v>1717</v>
      </c>
      <c r="U978" s="5"/>
      <c r="V978" s="5"/>
      <c r="W978" s="5"/>
      <c r="X978" s="5"/>
      <c r="Y978" s="5"/>
      <c r="Z978" s="46"/>
      <c r="AA978" s="1373"/>
      <c r="AB978" s="1374"/>
      <c r="AC978" s="1374"/>
      <c r="AD978" s="1374"/>
      <c r="AE978" s="1374"/>
      <c r="AF978" s="1374"/>
      <c r="AG978" s="1375"/>
      <c r="AU978" s="68"/>
      <c r="AZ978" s="34"/>
      <c r="BB978" s="34"/>
      <c r="BC978" s="34"/>
      <c r="BD978" s="34"/>
      <c r="BE978" s="34"/>
      <c r="BJ978" s="34"/>
      <c r="BK978" s="34"/>
      <c r="BL978" s="34"/>
    </row>
    <row r="979" spans="1:64" s="14" customFormat="1" ht="12.9" customHeight="1">
      <c r="F979" s="45" t="s">
        <v>1718</v>
      </c>
      <c r="G979" s="5"/>
      <c r="H979" s="5"/>
      <c r="I979" s="5"/>
      <c r="J979" s="5"/>
      <c r="K979" s="5"/>
      <c r="L979" s="46"/>
      <c r="M979" s="1373"/>
      <c r="N979" s="1374"/>
      <c r="O979" s="1374"/>
      <c r="P979" s="1374"/>
      <c r="Q979" s="1374"/>
      <c r="R979" s="1374"/>
      <c r="S979" s="1375"/>
      <c r="T979" s="45" t="s">
        <v>1719</v>
      </c>
      <c r="U979" s="5"/>
      <c r="V979" s="5"/>
      <c r="W979" s="5"/>
      <c r="X979" s="5"/>
      <c r="Y979" s="5"/>
      <c r="Z979" s="46"/>
      <c r="AA979" s="1373"/>
      <c r="AB979" s="1374"/>
      <c r="AC979" s="1374"/>
      <c r="AD979" s="1374"/>
      <c r="AE979" s="1374"/>
      <c r="AF979" s="1374"/>
      <c r="AG979" s="1375"/>
      <c r="AU979" s="68"/>
      <c r="AZ979" s="34"/>
      <c r="BB979" s="34"/>
      <c r="BC979" s="34"/>
      <c r="BD979" s="34"/>
      <c r="BE979" s="34"/>
      <c r="BJ979" s="34"/>
      <c r="BK979" s="34"/>
      <c r="BL979" s="34"/>
    </row>
    <row r="980" spans="1:64" s="14" customFormat="1" ht="12.9" customHeight="1">
      <c r="F980" s="45" t="s">
        <v>1720</v>
      </c>
      <c r="G980" s="5"/>
      <c r="H980" s="5"/>
      <c r="I980" s="5"/>
      <c r="J980" s="5"/>
      <c r="K980" s="5"/>
      <c r="L980" s="46"/>
      <c r="M980" s="1373"/>
      <c r="N980" s="1374"/>
      <c r="O980" s="1374"/>
      <c r="P980" s="1374"/>
      <c r="Q980" s="1374"/>
      <c r="R980" s="1374"/>
      <c r="S980" s="1375"/>
      <c r="T980" s="45" t="s">
        <v>1721</v>
      </c>
      <c r="U980" s="5"/>
      <c r="V980" s="5"/>
      <c r="W980" s="5"/>
      <c r="X980" s="5"/>
      <c r="Y980" s="5"/>
      <c r="Z980" s="46"/>
      <c r="AA980" s="1373"/>
      <c r="AB980" s="1374"/>
      <c r="AC980" s="1374"/>
      <c r="AD980" s="1374"/>
      <c r="AE980" s="1374"/>
      <c r="AF980" s="1374"/>
      <c r="AG980" s="1375"/>
      <c r="AU980" s="68"/>
      <c r="AZ980" s="34"/>
      <c r="BB980" s="34"/>
      <c r="BC980" s="34"/>
      <c r="BD980" s="34"/>
      <c r="BE980" s="34"/>
      <c r="BJ980" s="34"/>
      <c r="BK980" s="34"/>
      <c r="BL980" s="34"/>
    </row>
    <row r="981" spans="1:64" s="14" customFormat="1" ht="12.9" customHeight="1">
      <c r="F981" s="242" t="s">
        <v>1705</v>
      </c>
      <c r="G981" s="42"/>
      <c r="H981" s="42"/>
      <c r="I981" s="42"/>
      <c r="J981" s="42"/>
      <c r="K981" s="42"/>
      <c r="L981" s="58"/>
      <c r="M981" s="1547" t="s">
        <v>444</v>
      </c>
      <c r="N981" s="1374"/>
      <c r="O981" s="1374"/>
      <c r="P981" s="1374"/>
      <c r="Q981" s="1374"/>
      <c r="R981" s="1374"/>
      <c r="S981" s="1375"/>
      <c r="T981" s="1476"/>
      <c r="U981" s="1374"/>
      <c r="V981" s="1374"/>
      <c r="W981" s="1374"/>
      <c r="X981" s="1374"/>
      <c r="Y981" s="1374"/>
      <c r="Z981" s="1375"/>
      <c r="AA981" s="1373"/>
      <c r="AB981" s="1374"/>
      <c r="AC981" s="1374"/>
      <c r="AD981" s="1374"/>
      <c r="AE981" s="1374"/>
      <c r="AF981" s="1374"/>
      <c r="AG981" s="1375"/>
      <c r="AU981" s="68"/>
      <c r="AZ981" s="34"/>
      <c r="BA981" s="34"/>
      <c r="BB981" s="34"/>
      <c r="BC981" s="34"/>
      <c r="BD981" s="34"/>
      <c r="BE981" s="34"/>
      <c r="BF981" s="34"/>
      <c r="BG981" s="34"/>
      <c r="BH981" s="34"/>
      <c r="BI981" s="34"/>
      <c r="BJ981" s="34"/>
      <c r="BK981" s="34"/>
      <c r="BL981" s="34"/>
    </row>
    <row r="982" spans="1:64" s="14" customFormat="1" ht="12.9" customHeight="1">
      <c r="F982" s="41" t="s">
        <v>1722</v>
      </c>
      <c r="G982" s="42"/>
      <c r="H982" s="42"/>
      <c r="I982" s="42"/>
      <c r="J982" s="42"/>
      <c r="K982" s="42"/>
      <c r="L982" s="58"/>
      <c r="M982" s="1373"/>
      <c r="N982" s="1374"/>
      <c r="O982" s="1374"/>
      <c r="P982" s="1374"/>
      <c r="Q982" s="1374"/>
      <c r="R982" s="1374"/>
      <c r="S982" s="1375"/>
      <c r="T982" s="1476"/>
      <c r="U982" s="1374"/>
      <c r="V982" s="1374"/>
      <c r="W982" s="1374"/>
      <c r="X982" s="1374"/>
      <c r="Y982" s="1374"/>
      <c r="Z982" s="1375"/>
      <c r="AA982" s="1373"/>
      <c r="AB982" s="1374"/>
      <c r="AC982" s="1374"/>
      <c r="AD982" s="1374"/>
      <c r="AE982" s="1374"/>
      <c r="AF982" s="1374"/>
      <c r="AG982" s="1375"/>
      <c r="AU982" s="68"/>
      <c r="AZ982" s="34"/>
      <c r="BA982" s="34"/>
      <c r="BB982" s="34"/>
      <c r="BC982" s="34"/>
      <c r="BD982" s="34"/>
      <c r="BE982" s="34"/>
      <c r="BF982" s="34"/>
      <c r="BG982" s="34"/>
      <c r="BH982" s="34"/>
      <c r="BI982" s="34"/>
      <c r="BJ982" s="34"/>
      <c r="BK982" s="34"/>
      <c r="BL982" s="34"/>
    </row>
    <row r="983" spans="1:64" ht="12.9" customHeight="1">
      <c r="F983" s="41" t="s">
        <v>1723</v>
      </c>
      <c r="G983" s="42"/>
      <c r="H983" s="42"/>
      <c r="I983" s="42"/>
      <c r="J983" s="42"/>
      <c r="K983" s="42"/>
      <c r="L983" s="42"/>
      <c r="M983" s="42"/>
      <c r="N983" s="42"/>
      <c r="O983" s="1463" t="s">
        <v>811</v>
      </c>
      <c r="P983" s="1375"/>
      <c r="Q983" s="92"/>
      <c r="R983" s="92"/>
      <c r="S983" s="93"/>
      <c r="T983" s="41" t="s">
        <v>345</v>
      </c>
      <c r="U983" s="42"/>
      <c r="V983" s="42"/>
      <c r="W983" s="1540" t="s">
        <v>1353</v>
      </c>
      <c r="X983" s="1374"/>
      <c r="Y983" s="1374"/>
      <c r="Z983" s="1374"/>
      <c r="AA983" s="1374"/>
      <c r="AB983" s="1374"/>
      <c r="AC983" s="1374"/>
      <c r="AD983" s="1374"/>
      <c r="AE983" s="1374"/>
      <c r="AF983" s="1374"/>
      <c r="AG983" s="1375"/>
      <c r="AU983" s="68"/>
      <c r="AV983" s="95"/>
      <c r="AW983" s="95"/>
      <c r="AX983" s="95"/>
      <c r="AY983" s="95"/>
      <c r="AZ983" s="34"/>
      <c r="BB983" s="34"/>
      <c r="BC983" s="34"/>
      <c r="BD983" s="34"/>
      <c r="BE983" s="34"/>
      <c r="BF983" s="34"/>
      <c r="BG983" s="34"/>
      <c r="BH983" s="34"/>
      <c r="BI983" s="34"/>
      <c r="BJ983" s="34"/>
      <c r="BK983" s="34"/>
      <c r="BL983" s="34"/>
    </row>
    <row r="984" spans="1:64" ht="12.9" customHeight="1">
      <c r="F984" s="1529" t="s">
        <v>1724</v>
      </c>
      <c r="G984" s="1405"/>
      <c r="H984" s="1405"/>
      <c r="I984" s="1405"/>
      <c r="J984" s="1405"/>
      <c r="K984" s="1405"/>
      <c r="L984" s="1405"/>
      <c r="M984" s="1373"/>
      <c r="N984" s="1374"/>
      <c r="O984" s="1374"/>
      <c r="P984" s="1374"/>
      <c r="Q984" s="1374"/>
      <c r="R984" s="1374"/>
      <c r="S984" s="1375"/>
      <c r="T984" s="47"/>
      <c r="U984" s="48"/>
      <c r="V984" s="48"/>
      <c r="W984" s="48"/>
      <c r="X984" s="48"/>
      <c r="Y984" s="48"/>
      <c r="Z984" s="124" t="s">
        <v>1725</v>
      </c>
      <c r="AA984" s="1474"/>
      <c r="AB984" s="1294"/>
      <c r="AC984" s="1294"/>
      <c r="AD984" s="1294"/>
      <c r="AE984" s="1294"/>
      <c r="AF984" s="1294"/>
      <c r="AG984" s="1388"/>
      <c r="AU984" s="68"/>
      <c r="AV984" s="95"/>
      <c r="AW984" s="95"/>
      <c r="AX984" s="95"/>
      <c r="AY984" s="95"/>
      <c r="AZ984" s="14"/>
      <c r="BA984" s="14"/>
      <c r="BB984" s="34"/>
      <c r="BC984" s="34"/>
      <c r="BD984" s="34"/>
      <c r="BE984" s="34"/>
      <c r="BF984" s="34"/>
      <c r="BG984" s="14"/>
      <c r="BH984" s="14"/>
      <c r="BI984" s="14"/>
      <c r="BJ984" s="14"/>
      <c r="BK984" s="14"/>
      <c r="BL984" s="14"/>
    </row>
    <row r="985" spans="1:64" ht="12.9" customHeight="1">
      <c r="AU985" s="68"/>
      <c r="AV985" s="68"/>
      <c r="AW985" s="68"/>
      <c r="AX985" s="68"/>
      <c r="AY985" s="68"/>
      <c r="AZ985" s="14"/>
      <c r="BA985" s="14"/>
      <c r="BB985" s="14"/>
      <c r="BC985" s="14"/>
      <c r="BD985" s="14"/>
      <c r="BE985" s="14"/>
      <c r="BF985" s="14"/>
      <c r="BG985" s="1486"/>
      <c r="BH985" s="1298"/>
      <c r="BI985" s="1298"/>
      <c r="BJ985" s="1298"/>
      <c r="BK985" s="1298"/>
      <c r="BL985" s="1298"/>
    </row>
    <row r="986" spans="1:64" ht="12.9" customHeight="1">
      <c r="AU986" s="68"/>
      <c r="AV986" s="68"/>
      <c r="AW986" s="68"/>
      <c r="AX986" s="68"/>
      <c r="AY986" s="68"/>
      <c r="AZ986" s="14"/>
      <c r="BA986" s="14"/>
      <c r="BB986" s="908"/>
      <c r="BC986" s="908"/>
      <c r="BD986" s="14"/>
      <c r="BE986" s="14"/>
      <c r="BF986" s="14"/>
      <c r="BG986" s="14"/>
      <c r="BH986" s="14"/>
      <c r="BI986" s="14"/>
      <c r="BJ986" s="14"/>
      <c r="BK986" s="14"/>
      <c r="BL986" s="14"/>
    </row>
    <row r="987" spans="1:64" ht="12.9" customHeight="1">
      <c r="AU987" s="68"/>
      <c r="AV987" s="68"/>
      <c r="AW987" s="68"/>
      <c r="AX987" s="68"/>
      <c r="AY987" s="68"/>
      <c r="AZ987" s="14"/>
      <c r="BA987" s="14"/>
      <c r="BB987" s="908"/>
      <c r="BC987" s="908"/>
    </row>
    <row r="988" spans="1:64" ht="12.9" customHeight="1">
      <c r="A988" s="1462" t="s">
        <v>1726</v>
      </c>
      <c r="B988" s="1298"/>
      <c r="C988" s="1298"/>
      <c r="D988" s="1298"/>
      <c r="E988" s="1298"/>
      <c r="F988" s="1298"/>
      <c r="G988" s="1298"/>
      <c r="H988" s="1298"/>
      <c r="I988" s="1298"/>
      <c r="J988" s="1298"/>
      <c r="K988" s="1298"/>
      <c r="L988" s="1298"/>
      <c r="M988" s="1298"/>
      <c r="N988" s="1298"/>
      <c r="O988" s="1298"/>
      <c r="P988" s="1298"/>
      <c r="Q988" s="1298"/>
      <c r="R988" s="1298"/>
      <c r="S988" s="1298"/>
      <c r="T988" s="1298"/>
      <c r="U988" s="1298"/>
      <c r="V988" s="1298"/>
      <c r="W988" s="1298"/>
      <c r="X988" s="1298"/>
      <c r="Y988" s="1298"/>
      <c r="Z988" s="1298"/>
      <c r="AA988" s="1298"/>
      <c r="AB988" s="1298"/>
      <c r="AC988" s="1298"/>
      <c r="AD988" s="1298"/>
      <c r="AE988" s="1298"/>
      <c r="AF988" s="1298"/>
      <c r="AG988" s="1298"/>
      <c r="AH988" s="1298"/>
      <c r="AI988" s="1298"/>
      <c r="AJ988" s="1298"/>
      <c r="AK988" s="1298"/>
      <c r="AL988" s="1298"/>
      <c r="AM988" s="1298"/>
      <c r="AN988" s="1298"/>
      <c r="AO988" s="1298"/>
      <c r="AP988" s="1298"/>
      <c r="AQ988" s="1298"/>
      <c r="AR988" s="1298"/>
      <c r="AS988" s="1298"/>
      <c r="AT988" s="1298"/>
      <c r="AU988" s="68"/>
      <c r="AV988" s="68"/>
      <c r="AW988" s="68"/>
      <c r="AX988" s="68"/>
      <c r="AY988" s="68"/>
      <c r="AZ988" s="14"/>
      <c r="BA988" s="14"/>
      <c r="BB988" s="908"/>
      <c r="BC988" s="908"/>
    </row>
    <row r="989" spans="1:64" ht="12.9" customHeight="1">
      <c r="A989" s="1298"/>
      <c r="B989" s="1298"/>
      <c r="C989" s="1298"/>
      <c r="D989" s="1298"/>
      <c r="E989" s="1298"/>
      <c r="F989" s="1298"/>
      <c r="G989" s="1298"/>
      <c r="H989" s="1298"/>
      <c r="I989" s="1298"/>
      <c r="J989" s="1298"/>
      <c r="K989" s="1298"/>
      <c r="L989" s="1298"/>
      <c r="M989" s="1298"/>
      <c r="N989" s="1298"/>
      <c r="O989" s="1298"/>
      <c r="P989" s="1298"/>
      <c r="Q989" s="1298"/>
      <c r="R989" s="1298"/>
      <c r="S989" s="1298"/>
      <c r="T989" s="1298"/>
      <c r="U989" s="1298"/>
      <c r="V989" s="1298"/>
      <c r="W989" s="1298"/>
      <c r="X989" s="1298"/>
      <c r="Y989" s="1298"/>
      <c r="Z989" s="1298"/>
      <c r="AA989" s="1298"/>
      <c r="AB989" s="1298"/>
      <c r="AC989" s="1298"/>
      <c r="AD989" s="1298"/>
      <c r="AE989" s="1298"/>
      <c r="AF989" s="1298"/>
      <c r="AG989" s="1298"/>
      <c r="AH989" s="1298"/>
      <c r="AI989" s="1298"/>
      <c r="AJ989" s="1298"/>
      <c r="AK989" s="1298"/>
      <c r="AL989" s="1298"/>
      <c r="AM989" s="1298"/>
      <c r="AN989" s="1298"/>
      <c r="AO989" s="1298"/>
      <c r="AP989" s="1298"/>
      <c r="AQ989" s="1298"/>
      <c r="AR989" s="1298"/>
      <c r="AS989" s="1298"/>
      <c r="AT989" s="1298"/>
      <c r="AU989" s="68"/>
      <c r="AV989" s="68"/>
      <c r="AW989" s="68"/>
      <c r="AX989" s="68"/>
      <c r="AY989" s="68"/>
      <c r="AZ989" s="30"/>
      <c r="BA989" s="14"/>
      <c r="BB989" s="14"/>
      <c r="BC989" s="14"/>
    </row>
    <row r="990" spans="1:64" ht="12.9" customHeight="1">
      <c r="A990" s="1298"/>
      <c r="B990" s="1298"/>
      <c r="C990" s="1298"/>
      <c r="D990" s="1298"/>
      <c r="E990" s="1298"/>
      <c r="F990" s="1298"/>
      <c r="G990" s="1298"/>
      <c r="H990" s="1298"/>
      <c r="I990" s="1298"/>
      <c r="J990" s="1298"/>
      <c r="K990" s="1298"/>
      <c r="L990" s="1298"/>
      <c r="M990" s="1298"/>
      <c r="N990" s="1298"/>
      <c r="O990" s="1298"/>
      <c r="P990" s="1298"/>
      <c r="Q990" s="1298"/>
      <c r="R990" s="1298"/>
      <c r="S990" s="1298"/>
      <c r="T990" s="1298"/>
      <c r="U990" s="1298"/>
      <c r="V990" s="1298"/>
      <c r="W990" s="1298"/>
      <c r="X990" s="1298"/>
      <c r="Y990" s="1298"/>
      <c r="Z990" s="1298"/>
      <c r="AA990" s="1298"/>
      <c r="AB990" s="1298"/>
      <c r="AC990" s="1298"/>
      <c r="AD990" s="1298"/>
      <c r="AE990" s="1298"/>
      <c r="AF990" s="1298"/>
      <c r="AG990" s="1298"/>
      <c r="AH990" s="1298"/>
      <c r="AI990" s="1298"/>
      <c r="AJ990" s="1298"/>
      <c r="AK990" s="1298"/>
      <c r="AL990" s="1298"/>
      <c r="AM990" s="1298"/>
      <c r="AN990" s="1298"/>
      <c r="AO990" s="1298"/>
      <c r="AP990" s="1298"/>
      <c r="AQ990" s="1298"/>
      <c r="AR990" s="1298"/>
      <c r="AS990" s="1298"/>
      <c r="AT990" s="1298"/>
      <c r="AU990" s="68"/>
      <c r="AV990" s="68"/>
      <c r="AW990" s="68"/>
      <c r="AX990" s="68"/>
      <c r="AY990" s="68"/>
      <c r="AZ990" s="30"/>
      <c r="BA990" s="14"/>
      <c r="BB990" s="14"/>
      <c r="BC990" s="14"/>
    </row>
    <row r="991" spans="1:64" ht="12.9"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 customHeight="1">
      <c r="A992" s="2" t="s">
        <v>994</v>
      </c>
      <c r="C992" s="2" t="s">
        <v>365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 customHeight="1">
      <c r="A994" s="67"/>
      <c r="B994" s="79"/>
      <c r="C994" s="924"/>
      <c r="D994" s="1484" t="s">
        <v>1727</v>
      </c>
      <c r="E994" s="1263"/>
      <c r="F994" s="1263"/>
      <c r="G994" s="1263"/>
      <c r="H994" s="1263"/>
      <c r="I994" s="1263"/>
      <c r="J994" s="1263"/>
      <c r="K994" s="1263"/>
      <c r="L994" s="1263"/>
      <c r="M994" s="1263"/>
      <c r="N994" s="1263"/>
      <c r="O994" s="1263"/>
      <c r="P994" s="1263"/>
      <c r="Q994" s="1264"/>
      <c r="R994" s="1484" t="s">
        <v>1728</v>
      </c>
      <c r="S994" s="1263"/>
      <c r="T994" s="1263"/>
      <c r="U994" s="1263"/>
      <c r="V994" s="1263"/>
      <c r="W994" s="1263"/>
      <c r="X994" s="1263"/>
      <c r="Y994" s="1263"/>
      <c r="Z994" s="1263"/>
      <c r="AA994" s="1264"/>
      <c r="AB994" s="1484" t="s">
        <v>1729</v>
      </c>
      <c r="AC994" s="1263"/>
      <c r="AD994" s="1263"/>
      <c r="AE994" s="1263"/>
      <c r="AF994" s="1263"/>
      <c r="AG994" s="1263"/>
      <c r="AH994" s="1263"/>
      <c r="AI994" s="1264"/>
      <c r="AJ994" s="1484" t="s">
        <v>1730</v>
      </c>
      <c r="AK994" s="1263"/>
      <c r="AL994" s="1263"/>
      <c r="AM994" s="1263"/>
      <c r="AN994" s="1263"/>
      <c r="AO994" s="1263"/>
      <c r="AP994" s="1263"/>
      <c r="AQ994" s="1264"/>
      <c r="AR994" s="68"/>
      <c r="AS994" s="68"/>
      <c r="AT994" s="68"/>
      <c r="AU994" s="68"/>
      <c r="AV994" s="68"/>
      <c r="AW994" s="68"/>
      <c r="AX994" s="68"/>
      <c r="AY994" s="68"/>
      <c r="AZ994" s="30"/>
      <c r="BB994" s="14"/>
      <c r="BC994" s="14"/>
    </row>
    <row r="995" spans="1:55" ht="12.9" customHeight="1">
      <c r="A995" s="14"/>
      <c r="B995" s="73"/>
      <c r="C995" s="925"/>
      <c r="D995" s="1413" t="s">
        <v>960</v>
      </c>
      <c r="E995" s="1263"/>
      <c r="F995" s="1263"/>
      <c r="G995" s="1263"/>
      <c r="H995" s="1263"/>
      <c r="I995" s="1263"/>
      <c r="J995" s="1263"/>
      <c r="K995" s="1263"/>
      <c r="L995" s="1263"/>
      <c r="M995" s="1263"/>
      <c r="N995" s="1263"/>
      <c r="O995" s="1263"/>
      <c r="P995" s="1263"/>
      <c r="Q995" s="1264"/>
      <c r="R995" s="1590">
        <f>IF(ISNA(IF($CU$122="4%",(INDEX($CS$160:$CW$217,MATCH($DG$122,$CR$160:$CR$217,0),MATCH(D995,$CS$159:$CW$159,0))),(INDEX($CZ$160:$DD$217,MATCH($DG$122,$CY$160:$CY$217,0),MATCH(D995,$CZ$159:$DD$159,0))))),0,IF($CU$122="4%",(INDEX($CS$160:$CW$217,MATCH($DG$122,$CR$160:$CR$217,0),MATCH(D995,$CS$159:$CW$159,0))),(INDEX($CZ$160:$DD$217,MATCH($DG$122,$CY$160:$CY$217,0),MATCH(D995,$CZ$159:$DD$159,0)))))</f>
        <v>437727</v>
      </c>
      <c r="S995" s="1263"/>
      <c r="T995" s="1263"/>
      <c r="U995" s="1263"/>
      <c r="V995" s="1263"/>
      <c r="W995" s="1263"/>
      <c r="X995" s="1263"/>
      <c r="Y995" s="1263"/>
      <c r="Z995" s="1263"/>
      <c r="AA995" s="1264"/>
      <c r="AB995" s="1411">
        <f>CP810</f>
        <v>0</v>
      </c>
      <c r="AC995" s="1263"/>
      <c r="AD995" s="1263"/>
      <c r="AE995" s="1263"/>
      <c r="AF995" s="1263"/>
      <c r="AG995" s="1263"/>
      <c r="AH995" s="1263"/>
      <c r="AI995" s="1264"/>
      <c r="AJ995" s="1397">
        <f>IF(ISERROR((R995*AB995)),0,(R995*AB995))</f>
        <v>0</v>
      </c>
      <c r="AK995" s="1263"/>
      <c r="AL995" s="1263"/>
      <c r="AM995" s="1263"/>
      <c r="AN995" s="1263"/>
      <c r="AO995" s="1263"/>
      <c r="AP995" s="1263"/>
      <c r="AQ995" s="1264"/>
      <c r="AR995" s="68"/>
      <c r="AS995" s="68"/>
      <c r="AT995" s="68"/>
      <c r="AU995" s="68"/>
      <c r="AV995" s="68"/>
      <c r="AW995" s="68"/>
      <c r="AX995" s="68"/>
      <c r="AY995" s="68"/>
      <c r="AZ995" s="30"/>
      <c r="BB995" s="14"/>
      <c r="BC995" s="14"/>
    </row>
    <row r="996" spans="1:55" ht="12.9" customHeight="1">
      <c r="A996" s="14"/>
      <c r="B996" s="73"/>
      <c r="C996" s="83"/>
      <c r="D996" s="1413" t="s">
        <v>955</v>
      </c>
      <c r="E996" s="1263"/>
      <c r="F996" s="1263"/>
      <c r="G996" s="1263"/>
      <c r="H996" s="1263"/>
      <c r="I996" s="1263"/>
      <c r="J996" s="1263"/>
      <c r="K996" s="1263"/>
      <c r="L996" s="1263"/>
      <c r="M996" s="1263"/>
      <c r="N996" s="1263"/>
      <c r="O996" s="1263"/>
      <c r="P996" s="1263"/>
      <c r="Q996" s="1264"/>
      <c r="R996" s="1590">
        <f>IF(ISNA(IF($CU$122="4%",(INDEX($CS$160:$CW$217,MATCH($DG$122,$CR$160:$CR$217,0),MATCH(D996,$CS$159:$CW$159,0))),(INDEX($CZ$160:$DD$217,MATCH($DG$122,$CY$160:$CY$217,0),MATCH(D996,$CZ$159:$DD$159,0))))),0,IF($CU$122="4%",(INDEX($CS$160:$CW$217,MATCH($DG$122,$CR$160:$CR$217,0),MATCH(D996,$CS$159:$CW$159,0))),(INDEX($CZ$160:$DD$217,MATCH($DG$122,$CY$160:$CY$217,0),MATCH(D996,$CZ$159:$DD$159,0)))))</f>
        <v>504695</v>
      </c>
      <c r="S996" s="1263"/>
      <c r="T996" s="1263"/>
      <c r="U996" s="1263"/>
      <c r="V996" s="1263"/>
      <c r="W996" s="1263"/>
      <c r="X996" s="1263"/>
      <c r="Y996" s="1263"/>
      <c r="Z996" s="1263"/>
      <c r="AA996" s="1264"/>
      <c r="AB996" s="1411">
        <f>CU810</f>
        <v>12</v>
      </c>
      <c r="AC996" s="1263"/>
      <c r="AD996" s="1263"/>
      <c r="AE996" s="1263"/>
      <c r="AF996" s="1263"/>
      <c r="AG996" s="1263"/>
      <c r="AH996" s="1263"/>
      <c r="AI996" s="1264"/>
      <c r="AJ996" s="1397">
        <f>IF(ISERROR((R996*AB996)),0,(R996*AB996))</f>
        <v>6056340</v>
      </c>
      <c r="AK996" s="1263"/>
      <c r="AL996" s="1263"/>
      <c r="AM996" s="1263"/>
      <c r="AN996" s="1263"/>
      <c r="AO996" s="1263"/>
      <c r="AP996" s="1263"/>
      <c r="AQ996" s="1264"/>
      <c r="AR996" s="68"/>
      <c r="AS996" s="68"/>
      <c r="AT996" s="68"/>
      <c r="AU996" s="68"/>
      <c r="AV996" s="68"/>
      <c r="AW996" s="68"/>
      <c r="AX996" s="68"/>
      <c r="AY996" s="68"/>
      <c r="AZ996" s="30"/>
      <c r="BB996" s="14"/>
      <c r="BC996" s="14"/>
    </row>
    <row r="997" spans="1:55" ht="12.9" customHeight="1">
      <c r="A997" s="14"/>
      <c r="B997" s="73"/>
      <c r="C997" s="83"/>
      <c r="D997" s="1413" t="s">
        <v>956</v>
      </c>
      <c r="E997" s="1263"/>
      <c r="F997" s="1263"/>
      <c r="G997" s="1263"/>
      <c r="H997" s="1263"/>
      <c r="I997" s="1263"/>
      <c r="J997" s="1263"/>
      <c r="K997" s="1263"/>
      <c r="L997" s="1263"/>
      <c r="M997" s="1263"/>
      <c r="N997" s="1263"/>
      <c r="O997" s="1263"/>
      <c r="P997" s="1263"/>
      <c r="Q997" s="1264"/>
      <c r="R997" s="1590">
        <f>IF(ISNA(IF($CU$122="4%",(INDEX($CS$160:$CW$217,MATCH($DG$122,$CR$160:$CR$217,0),MATCH(D997,$CS$159:$CW$159,0))),(INDEX($CZ$160:$DD$217,MATCH($DG$122,$CY$160:$CY$217,0),MATCH(D997,$CZ$159:$DD$159,0))))),0,IF($CU$122="4%",(INDEX($CS$160:$CW$217,MATCH($DG$122,$CR$160:$CR$217,0),MATCH(D997,$CS$159:$CW$159,0))),(INDEX($CZ$160:$DD$217,MATCH($DG$122,$CY$160:$CY$217,0),MATCH(D997,$CZ$159:$DD$159,0)))))</f>
        <v>608800</v>
      </c>
      <c r="S997" s="1263"/>
      <c r="T997" s="1263"/>
      <c r="U997" s="1263"/>
      <c r="V997" s="1263"/>
      <c r="W997" s="1263"/>
      <c r="X997" s="1263"/>
      <c r="Y997" s="1263"/>
      <c r="Z997" s="1263"/>
      <c r="AA997" s="1264"/>
      <c r="AB997" s="1411">
        <f>CZ810</f>
        <v>20</v>
      </c>
      <c r="AC997" s="1263"/>
      <c r="AD997" s="1263"/>
      <c r="AE997" s="1263"/>
      <c r="AF997" s="1263"/>
      <c r="AG997" s="1263"/>
      <c r="AH997" s="1263"/>
      <c r="AI997" s="1264"/>
      <c r="AJ997" s="1397">
        <f>IF(ISERROR((R997*AB997)),0,(R997*AB997))</f>
        <v>12176000</v>
      </c>
      <c r="AK997" s="1263"/>
      <c r="AL997" s="1263"/>
      <c r="AM997" s="1263"/>
      <c r="AN997" s="1263"/>
      <c r="AO997" s="1263"/>
      <c r="AP997" s="1263"/>
      <c r="AQ997" s="1264"/>
      <c r="AR997" s="68"/>
      <c r="AS997" s="68"/>
      <c r="AT997" s="68"/>
      <c r="AU997" s="68"/>
      <c r="AV997" s="68"/>
      <c r="AW997" s="68"/>
      <c r="AX997" s="68"/>
      <c r="AY997" s="68"/>
      <c r="AZ997" s="30"/>
      <c r="BB997" s="14"/>
      <c r="BC997" s="14"/>
    </row>
    <row r="998" spans="1:55" ht="12.9" customHeight="1">
      <c r="A998" s="14"/>
      <c r="B998" s="73"/>
      <c r="C998" s="83"/>
      <c r="D998" s="1413" t="s">
        <v>957</v>
      </c>
      <c r="E998" s="1263"/>
      <c r="F998" s="1263"/>
      <c r="G998" s="1263"/>
      <c r="H998" s="1263"/>
      <c r="I998" s="1263"/>
      <c r="J998" s="1263"/>
      <c r="K998" s="1263"/>
      <c r="L998" s="1263"/>
      <c r="M998" s="1263"/>
      <c r="N998" s="1263"/>
      <c r="O998" s="1263"/>
      <c r="P998" s="1263"/>
      <c r="Q998" s="1264"/>
      <c r="R998" s="1590">
        <f>IF(ISNA(IF($CU$122="4%",(INDEX($CS$160:$CW$217,MATCH($DG$122,$CR$160:$CR$217,0),MATCH(D998,$CS$159:$CW$159,0))),(INDEX($CZ$160:$DD$217,MATCH($DG$122,$CY$160:$CY$217,0),MATCH(D998,$CZ$159:$DD$159,0))))),0,IF($CU$122="4%",(INDEX($CS$160:$CW$217,MATCH($DG$122,$CR$160:$CR$217,0),MATCH(D998,$CS$159:$CW$159,0))),(INDEX($CZ$160:$DD$217,MATCH($DG$122,$CY$160:$CY$217,0),MATCH(D998,$CZ$159:$DD$159,0)))))</f>
        <v>779264</v>
      </c>
      <c r="S998" s="1263"/>
      <c r="T998" s="1263"/>
      <c r="U998" s="1263"/>
      <c r="V998" s="1263"/>
      <c r="W998" s="1263"/>
      <c r="X998" s="1263"/>
      <c r="Y998" s="1263"/>
      <c r="Z998" s="1263"/>
      <c r="AA998" s="1264"/>
      <c r="AB998" s="1411">
        <f>DE810</f>
        <v>28</v>
      </c>
      <c r="AC998" s="1263"/>
      <c r="AD998" s="1263"/>
      <c r="AE998" s="1263"/>
      <c r="AF998" s="1263"/>
      <c r="AG998" s="1263"/>
      <c r="AH998" s="1263"/>
      <c r="AI998" s="1264"/>
      <c r="AJ998" s="1397">
        <f>IF(ISERROR((R998*AB998)),0,(R998*AB998))</f>
        <v>21819392</v>
      </c>
      <c r="AK998" s="1263"/>
      <c r="AL998" s="1263"/>
      <c r="AM998" s="1263"/>
      <c r="AN998" s="1263"/>
      <c r="AO998" s="1263"/>
      <c r="AP998" s="1263"/>
      <c r="AQ998" s="1264"/>
      <c r="AR998" s="68"/>
      <c r="AS998" s="68"/>
      <c r="AT998" s="68"/>
      <c r="AU998" s="68"/>
      <c r="AV998" s="68"/>
      <c r="AW998" s="68"/>
      <c r="AX998" s="68"/>
      <c r="AY998" s="68"/>
      <c r="AZ998" s="30"/>
      <c r="BA998" s="34"/>
      <c r="BB998" s="14"/>
      <c r="BC998" s="14"/>
    </row>
    <row r="999" spans="1:55" ht="12.9" customHeight="1">
      <c r="A999" s="14"/>
      <c r="B999" s="47"/>
      <c r="C999" s="78"/>
      <c r="D999" s="1413" t="s">
        <v>961</v>
      </c>
      <c r="E999" s="1263"/>
      <c r="F999" s="1263"/>
      <c r="G999" s="1263"/>
      <c r="H999" s="1263"/>
      <c r="I999" s="1263"/>
      <c r="J999" s="1263"/>
      <c r="K999" s="1263"/>
      <c r="L999" s="1263"/>
      <c r="M999" s="1263"/>
      <c r="N999" s="1263"/>
      <c r="O999" s="1263"/>
      <c r="P999" s="1263"/>
      <c r="Q999" s="1264"/>
      <c r="R999" s="1590">
        <f>IF(ISNA(IF($CU$122="4%",(INDEX($CS$160:$CW$217,MATCH($DG$122,$CR$160:$CR$217,0),MATCH(D999,$CS$159:$CW$159,0))),(INDEX($CZ$160:$DD$217,MATCH($DG$122,$CY$160:$CY$217,0),MATCH(D999,$CZ$159:$DD$159,0))))),0,IF($CU$122="4%",(INDEX($CS$160:$CW$217,MATCH($DG$122,$CR$160:$CR$217,0),MATCH(D999,$CS$159:$CW$159,0))),(INDEX($CZ$160:$DD$217,MATCH($DG$122,$CY$160:$CY$217,0),MATCH(D999,$CZ$159:$DD$159,0)))))</f>
        <v>868149</v>
      </c>
      <c r="S999" s="1263"/>
      <c r="T999" s="1263"/>
      <c r="U999" s="1263"/>
      <c r="V999" s="1263"/>
      <c r="W999" s="1263"/>
      <c r="X999" s="1263"/>
      <c r="Y999" s="1263"/>
      <c r="Z999" s="1263"/>
      <c r="AA999" s="1264"/>
      <c r="AB999" s="1411">
        <f>DO810+DJ810</f>
        <v>6</v>
      </c>
      <c r="AC999" s="1263"/>
      <c r="AD999" s="1263"/>
      <c r="AE999" s="1263"/>
      <c r="AF999" s="1263"/>
      <c r="AG999" s="1263"/>
      <c r="AH999" s="1263"/>
      <c r="AI999" s="1264"/>
      <c r="AJ999" s="1397">
        <f>IF(ISERROR((R999*AB999)),0,(R999*AB999))</f>
        <v>5208894</v>
      </c>
      <c r="AK999" s="1263"/>
      <c r="AL999" s="1263"/>
      <c r="AM999" s="1263"/>
      <c r="AN999" s="1263"/>
      <c r="AO999" s="1263"/>
      <c r="AP999" s="1263"/>
      <c r="AQ999" s="1264"/>
      <c r="AR999" s="68"/>
      <c r="AS999" s="68"/>
      <c r="AT999" s="68"/>
      <c r="AU999" s="68"/>
      <c r="AV999" s="68"/>
      <c r="AW999" s="68"/>
      <c r="AX999" s="68"/>
      <c r="AY999" s="68"/>
      <c r="AZ999" s="30"/>
      <c r="BB999" s="14"/>
      <c r="BC999" s="14"/>
    </row>
    <row r="1000" spans="1:55" ht="12.9" customHeight="1">
      <c r="A1000" s="14"/>
      <c r="B1000" s="1584" t="s">
        <v>1731</v>
      </c>
      <c r="C1000" s="1263"/>
      <c r="D1000" s="1263"/>
      <c r="E1000" s="1263"/>
      <c r="F1000" s="1263"/>
      <c r="G1000" s="1263"/>
      <c r="H1000" s="1263"/>
      <c r="I1000" s="1263"/>
      <c r="J1000" s="1263"/>
      <c r="K1000" s="1263"/>
      <c r="L1000" s="1263"/>
      <c r="M1000" s="1263"/>
      <c r="N1000" s="1263"/>
      <c r="O1000" s="1263"/>
      <c r="P1000" s="1263"/>
      <c r="Q1000" s="1263"/>
      <c r="R1000" s="1263"/>
      <c r="S1000" s="1263"/>
      <c r="T1000" s="1263"/>
      <c r="U1000" s="1263"/>
      <c r="V1000" s="1263"/>
      <c r="W1000" s="1263"/>
      <c r="X1000" s="1263"/>
      <c r="Y1000" s="1263"/>
      <c r="Z1000" s="1263"/>
      <c r="AA1000" s="1264"/>
      <c r="AB1000" s="1411">
        <f>SUM(AB995:AI999)</f>
        <v>66</v>
      </c>
      <c r="AC1000" s="1263"/>
      <c r="AD1000" s="1263"/>
      <c r="AE1000" s="1263"/>
      <c r="AF1000" s="1263"/>
      <c r="AG1000" s="1263"/>
      <c r="AH1000" s="1263"/>
      <c r="AI1000" s="1264"/>
      <c r="AJ1000" s="1397"/>
      <c r="AK1000" s="1263"/>
      <c r="AL1000" s="1263"/>
      <c r="AM1000" s="1263"/>
      <c r="AN1000" s="1263"/>
      <c r="AO1000" s="1263"/>
      <c r="AP1000" s="1263"/>
      <c r="AQ1000" s="1264"/>
      <c r="AR1000" s="68"/>
      <c r="AS1000" s="68"/>
      <c r="AT1000" s="68"/>
      <c r="AU1000" s="68"/>
      <c r="AV1000" s="68"/>
      <c r="AW1000" s="68"/>
      <c r="AX1000" s="68"/>
      <c r="AY1000" s="68"/>
      <c r="AZ1000" s="34"/>
      <c r="BA1000" s="34"/>
      <c r="BB1000" s="14"/>
      <c r="BC1000" s="14"/>
    </row>
    <row r="1001" spans="1:55" ht="12.9" customHeight="1">
      <c r="A1001" s="14"/>
      <c r="B1001" s="1635" t="s">
        <v>1732</v>
      </c>
      <c r="C1001" s="1417"/>
      <c r="D1001" s="1417"/>
      <c r="E1001" s="1417"/>
      <c r="F1001" s="1417"/>
      <c r="G1001" s="1417"/>
      <c r="H1001" s="1417"/>
      <c r="I1001" s="1417"/>
      <c r="J1001" s="1417"/>
      <c r="K1001" s="1417"/>
      <c r="L1001" s="1417"/>
      <c r="M1001" s="1417"/>
      <c r="N1001" s="1417"/>
      <c r="O1001" s="1417"/>
      <c r="P1001" s="1417"/>
      <c r="Q1001" s="1417"/>
      <c r="R1001" s="1417"/>
      <c r="S1001" s="1417"/>
      <c r="T1001" s="1417"/>
      <c r="U1001" s="1417"/>
      <c r="V1001" s="1417"/>
      <c r="W1001" s="1417"/>
      <c r="X1001" s="1417"/>
      <c r="Y1001" s="1417"/>
      <c r="Z1001" s="1417"/>
      <c r="AA1001" s="1417"/>
      <c r="AB1001" s="1417"/>
      <c r="AC1001" s="1417"/>
      <c r="AD1001" s="1417"/>
      <c r="AE1001" s="1417"/>
      <c r="AF1001" s="1417"/>
      <c r="AG1001" s="1417"/>
      <c r="AH1001" s="1417"/>
      <c r="AI1001" s="1423"/>
      <c r="AJ1001" s="1397">
        <f>SUM(AJ995:AQ999)</f>
        <v>45260626</v>
      </c>
      <c r="AK1001" s="1263"/>
      <c r="AL1001" s="1263"/>
      <c r="AM1001" s="1263"/>
      <c r="AN1001" s="1263"/>
      <c r="AO1001" s="1263"/>
      <c r="AP1001" s="1263"/>
      <c r="AQ1001" s="1264"/>
      <c r="AR1001" s="68"/>
      <c r="AS1001" s="68"/>
      <c r="AT1001" s="68"/>
      <c r="AU1001" s="68"/>
      <c r="AV1001" s="68"/>
      <c r="AW1001" s="68"/>
      <c r="AX1001" s="68"/>
      <c r="AY1001" s="68"/>
      <c r="AZ1001" s="34"/>
      <c r="BB1001" s="34"/>
      <c r="BC1001" s="34"/>
    </row>
    <row r="1002" spans="1:55" ht="12.9" customHeight="1">
      <c r="A1002" s="14"/>
      <c r="B1002" s="1564"/>
      <c r="C1002" s="1263"/>
      <c r="D1002" s="1263"/>
      <c r="E1002" s="1263"/>
      <c r="F1002" s="1263"/>
      <c r="G1002" s="1263"/>
      <c r="H1002" s="1263"/>
      <c r="I1002" s="1263"/>
      <c r="J1002" s="1263"/>
      <c r="K1002" s="1263"/>
      <c r="L1002" s="1263"/>
      <c r="M1002" s="1263"/>
      <c r="N1002" s="1263"/>
      <c r="O1002" s="1263"/>
      <c r="P1002" s="1263"/>
      <c r="Q1002" s="1263"/>
      <c r="R1002" s="1263"/>
      <c r="S1002" s="1263"/>
      <c r="T1002" s="1263"/>
      <c r="U1002" s="1263"/>
      <c r="V1002" s="1263"/>
      <c r="W1002" s="1263"/>
      <c r="X1002" s="1263"/>
      <c r="Y1002" s="1263"/>
      <c r="Z1002" s="1263"/>
      <c r="AA1002" s="1263"/>
      <c r="AB1002" s="1263"/>
      <c r="AC1002" s="1263"/>
      <c r="AD1002" s="1263"/>
      <c r="AE1002" s="1264"/>
      <c r="AF1002" s="1542" t="s">
        <v>1733</v>
      </c>
      <c r="AG1002" s="1263"/>
      <c r="AH1002" s="1263"/>
      <c r="AI1002" s="1264"/>
      <c r="AJ1002" s="1564"/>
      <c r="AK1002" s="1263"/>
      <c r="AL1002" s="1263"/>
      <c r="AM1002" s="1263"/>
      <c r="AN1002" s="1263"/>
      <c r="AO1002" s="1263"/>
      <c r="AP1002" s="1263"/>
      <c r="AQ1002" s="1264"/>
      <c r="AR1002" s="68"/>
      <c r="AS1002" s="68"/>
      <c r="AT1002" s="68"/>
      <c r="AU1002" s="68"/>
      <c r="AV1002" s="68"/>
      <c r="AW1002" s="68"/>
      <c r="AX1002" s="68"/>
      <c r="AY1002" s="68"/>
      <c r="AZ1002" s="34"/>
      <c r="BA1002" s="34"/>
      <c r="BB1002" s="34"/>
      <c r="BC1002" s="34"/>
    </row>
    <row r="1003" spans="1:55" ht="12.9" customHeight="1">
      <c r="A1003" s="14"/>
      <c r="B1003" s="73"/>
      <c r="C1003" s="923" t="s">
        <v>1734</v>
      </c>
      <c r="D1003" s="1493" t="s">
        <v>1735</v>
      </c>
      <c r="E1003" s="1417"/>
      <c r="F1003" s="1417"/>
      <c r="G1003" s="1417"/>
      <c r="H1003" s="1417"/>
      <c r="I1003" s="1417"/>
      <c r="J1003" s="1417"/>
      <c r="K1003" s="1417"/>
      <c r="L1003" s="1417"/>
      <c r="M1003" s="1417"/>
      <c r="N1003" s="1417"/>
      <c r="O1003" s="1417"/>
      <c r="P1003" s="1417"/>
      <c r="Q1003" s="1417"/>
      <c r="R1003" s="1417"/>
      <c r="S1003" s="1417"/>
      <c r="T1003" s="1417"/>
      <c r="U1003" s="1417"/>
      <c r="V1003" s="1417"/>
      <c r="W1003" s="1417"/>
      <c r="X1003" s="1417"/>
      <c r="Y1003" s="1417"/>
      <c r="Z1003" s="1417"/>
      <c r="AA1003" s="1417"/>
      <c r="AB1003" s="1417"/>
      <c r="AC1003" s="1417"/>
      <c r="AD1003" s="1417"/>
      <c r="AE1003" s="1423"/>
      <c r="AF1003" s="79"/>
      <c r="AG1003" s="1648" t="s">
        <v>811</v>
      </c>
      <c r="AH1003" s="1375"/>
      <c r="AI1003" s="87"/>
      <c r="AJ1003" s="1443">
        <f>ROUND(IF(AND(AG1003="yes",D1009&gt;0),AJ1001*0.2,0),0)</f>
        <v>0</v>
      </c>
      <c r="AK1003" s="1417"/>
      <c r="AL1003" s="1417"/>
      <c r="AM1003" s="1417"/>
      <c r="AN1003" s="1417"/>
      <c r="AO1003" s="1417"/>
      <c r="AP1003" s="1417"/>
      <c r="AQ1003" s="1423"/>
      <c r="AR1003" s="68"/>
      <c r="AS1003" s="68"/>
      <c r="AT1003" s="68"/>
      <c r="AU1003" s="68"/>
      <c r="AV1003" s="68"/>
      <c r="AW1003" s="68"/>
      <c r="AX1003" s="68"/>
      <c r="AY1003" s="68"/>
      <c r="AZ1003" s="34"/>
      <c r="BA1003" s="34"/>
      <c r="BB1003" s="34"/>
      <c r="BC1003" s="34"/>
    </row>
    <row r="1004" spans="1:55" ht="12.9" customHeight="1">
      <c r="A1004" s="14"/>
      <c r="B1004" s="257"/>
      <c r="C1004" s="256"/>
      <c r="D1004" s="1475" t="s">
        <v>1736</v>
      </c>
      <c r="E1004" s="1298"/>
      <c r="F1004" s="1298"/>
      <c r="G1004" s="1298"/>
      <c r="H1004" s="1298"/>
      <c r="I1004" s="1298"/>
      <c r="J1004" s="1298"/>
      <c r="K1004" s="1298"/>
      <c r="L1004" s="1298"/>
      <c r="M1004" s="1298"/>
      <c r="N1004" s="1298"/>
      <c r="O1004" s="1298"/>
      <c r="P1004" s="1298"/>
      <c r="Q1004" s="1298"/>
      <c r="R1004" s="1298"/>
      <c r="S1004" s="1298"/>
      <c r="T1004" s="1298"/>
      <c r="U1004" s="1298"/>
      <c r="V1004" s="1298"/>
      <c r="W1004" s="1298"/>
      <c r="X1004" s="1298"/>
      <c r="Y1004" s="1298"/>
      <c r="Z1004" s="1298"/>
      <c r="AA1004" s="1298"/>
      <c r="AB1004" s="1298"/>
      <c r="AC1004" s="1298"/>
      <c r="AD1004" s="1298"/>
      <c r="AE1004" s="1383"/>
      <c r="AF1004" s="73"/>
      <c r="AG1004" s="14"/>
      <c r="AH1004" s="14"/>
      <c r="AI1004" s="83"/>
      <c r="AJ1004" s="1403"/>
      <c r="AK1004" s="1298"/>
      <c r="AL1004" s="1298"/>
      <c r="AM1004" s="1298"/>
      <c r="AN1004" s="1298"/>
      <c r="AO1004" s="1298"/>
      <c r="AP1004" s="1298"/>
      <c r="AQ1004" s="1383"/>
      <c r="AR1004" s="68"/>
      <c r="AS1004" s="68"/>
      <c r="AT1004" s="68"/>
      <c r="AU1004" s="68"/>
      <c r="AV1004" s="68"/>
      <c r="AW1004" s="68"/>
      <c r="AX1004" s="68"/>
      <c r="AY1004" s="68"/>
      <c r="AZ1004" s="34"/>
      <c r="BA1004" s="34"/>
      <c r="BB1004" s="34"/>
      <c r="BC1004" s="34"/>
    </row>
    <row r="1005" spans="1:55" ht="12.9" customHeight="1">
      <c r="A1005" s="14"/>
      <c r="B1005" s="257"/>
      <c r="C1005" s="256"/>
      <c r="D1005" s="1403"/>
      <c r="E1005" s="1298"/>
      <c r="F1005" s="1298"/>
      <c r="G1005" s="1298"/>
      <c r="H1005" s="1298"/>
      <c r="I1005" s="1298"/>
      <c r="J1005" s="1298"/>
      <c r="K1005" s="1298"/>
      <c r="L1005" s="1298"/>
      <c r="M1005" s="1298"/>
      <c r="N1005" s="1298"/>
      <c r="O1005" s="1298"/>
      <c r="P1005" s="1298"/>
      <c r="Q1005" s="1298"/>
      <c r="R1005" s="1298"/>
      <c r="S1005" s="1298"/>
      <c r="T1005" s="1298"/>
      <c r="U1005" s="1298"/>
      <c r="V1005" s="1298"/>
      <c r="W1005" s="1298"/>
      <c r="X1005" s="1298"/>
      <c r="Y1005" s="1298"/>
      <c r="Z1005" s="1298"/>
      <c r="AA1005" s="1298"/>
      <c r="AB1005" s="1298"/>
      <c r="AC1005" s="1298"/>
      <c r="AD1005" s="1298"/>
      <c r="AE1005" s="1383"/>
      <c r="AF1005" s="73"/>
      <c r="AG1005" s="14"/>
      <c r="AH1005" s="14"/>
      <c r="AI1005" s="83"/>
      <c r="AJ1005" s="1403"/>
      <c r="AK1005" s="1298"/>
      <c r="AL1005" s="1298"/>
      <c r="AM1005" s="1298"/>
      <c r="AN1005" s="1298"/>
      <c r="AO1005" s="1298"/>
      <c r="AP1005" s="1298"/>
      <c r="AQ1005" s="1383"/>
      <c r="AR1005" s="68"/>
      <c r="AS1005" s="68"/>
      <c r="AT1005" s="68"/>
      <c r="AU1005" s="68"/>
      <c r="AV1005" s="68"/>
      <c r="AW1005" s="68"/>
      <c r="AX1005" s="68"/>
      <c r="AY1005" s="68"/>
      <c r="AZ1005" s="34"/>
      <c r="BA1005" s="34"/>
      <c r="BB1005" s="34"/>
      <c r="BC1005" s="34"/>
    </row>
    <row r="1006" spans="1:55" ht="12.9" customHeight="1">
      <c r="A1006" s="14"/>
      <c r="B1006" s="257"/>
      <c r="C1006" s="256"/>
      <c r="D1006" s="1403"/>
      <c r="E1006" s="1298"/>
      <c r="F1006" s="1298"/>
      <c r="G1006" s="1298"/>
      <c r="H1006" s="1298"/>
      <c r="I1006" s="1298"/>
      <c r="J1006" s="1298"/>
      <c r="K1006" s="1298"/>
      <c r="L1006" s="1298"/>
      <c r="M1006" s="1298"/>
      <c r="N1006" s="1298"/>
      <c r="O1006" s="1298"/>
      <c r="P1006" s="1298"/>
      <c r="Q1006" s="1298"/>
      <c r="R1006" s="1298"/>
      <c r="S1006" s="1298"/>
      <c r="T1006" s="1298"/>
      <c r="U1006" s="1298"/>
      <c r="V1006" s="1298"/>
      <c r="W1006" s="1298"/>
      <c r="X1006" s="1298"/>
      <c r="Y1006" s="1298"/>
      <c r="Z1006" s="1298"/>
      <c r="AA1006" s="1298"/>
      <c r="AB1006" s="1298"/>
      <c r="AC1006" s="1298"/>
      <c r="AD1006" s="1298"/>
      <c r="AE1006" s="1383"/>
      <c r="AF1006" s="73"/>
      <c r="AG1006" s="14"/>
      <c r="AH1006" s="14"/>
      <c r="AI1006" s="83"/>
      <c r="AJ1006" s="1403"/>
      <c r="AK1006" s="1298"/>
      <c r="AL1006" s="1298"/>
      <c r="AM1006" s="1298"/>
      <c r="AN1006" s="1298"/>
      <c r="AO1006" s="1298"/>
      <c r="AP1006" s="1298"/>
      <c r="AQ1006" s="1383"/>
      <c r="AR1006" s="68"/>
      <c r="AS1006" s="68"/>
      <c r="AT1006" s="68"/>
      <c r="AU1006" s="68"/>
      <c r="AV1006" s="68"/>
      <c r="AW1006" s="68"/>
      <c r="AX1006" s="68"/>
      <c r="AY1006" s="68"/>
      <c r="AZ1006" s="34"/>
      <c r="BA1006" s="34"/>
      <c r="BB1006" s="34"/>
      <c r="BC1006" s="34"/>
    </row>
    <row r="1007" spans="1:55" ht="12.9" customHeight="1">
      <c r="A1007" s="14"/>
      <c r="B1007" s="257"/>
      <c r="C1007" s="256"/>
      <c r="D1007" s="1403"/>
      <c r="E1007" s="1298"/>
      <c r="F1007" s="1298"/>
      <c r="G1007" s="1298"/>
      <c r="H1007" s="1298"/>
      <c r="I1007" s="1298"/>
      <c r="J1007" s="1298"/>
      <c r="K1007" s="1298"/>
      <c r="L1007" s="1298"/>
      <c r="M1007" s="1298"/>
      <c r="N1007" s="1298"/>
      <c r="O1007" s="1298"/>
      <c r="P1007" s="1298"/>
      <c r="Q1007" s="1298"/>
      <c r="R1007" s="1298"/>
      <c r="S1007" s="1298"/>
      <c r="T1007" s="1298"/>
      <c r="U1007" s="1298"/>
      <c r="V1007" s="1298"/>
      <c r="W1007" s="1298"/>
      <c r="X1007" s="1298"/>
      <c r="Y1007" s="1298"/>
      <c r="Z1007" s="1298"/>
      <c r="AA1007" s="1298"/>
      <c r="AB1007" s="1298"/>
      <c r="AC1007" s="1298"/>
      <c r="AD1007" s="1298"/>
      <c r="AE1007" s="1383"/>
      <c r="AF1007" s="73"/>
      <c r="AG1007" s="14"/>
      <c r="AH1007" s="14"/>
      <c r="AI1007" s="83"/>
      <c r="AJ1007" s="1403"/>
      <c r="AK1007" s="1298"/>
      <c r="AL1007" s="1298"/>
      <c r="AM1007" s="1298"/>
      <c r="AN1007" s="1298"/>
      <c r="AO1007" s="1298"/>
      <c r="AP1007" s="1298"/>
      <c r="AQ1007" s="1383"/>
      <c r="AR1007" s="68"/>
      <c r="AS1007" s="68"/>
      <c r="AT1007" s="68"/>
      <c r="AU1007" s="68"/>
      <c r="AV1007" s="68"/>
      <c r="AW1007" s="68"/>
      <c r="AX1007" s="68"/>
      <c r="AY1007" s="68"/>
      <c r="AZ1007" s="34"/>
      <c r="BA1007" s="34"/>
      <c r="BB1007" s="34"/>
      <c r="BC1007" s="34"/>
    </row>
    <row r="1008" spans="1:55" ht="12.9" customHeight="1">
      <c r="A1008" s="14"/>
      <c r="B1008" s="257"/>
      <c r="C1008" s="256"/>
      <c r="D1008" s="1623" t="s">
        <v>1737</v>
      </c>
      <c r="E1008" s="1405"/>
      <c r="F1008" s="1405"/>
      <c r="G1008" s="1405"/>
      <c r="H1008" s="1405"/>
      <c r="I1008" s="1405"/>
      <c r="J1008" s="1405"/>
      <c r="K1008" s="1405"/>
      <c r="L1008" s="1405"/>
      <c r="M1008" s="1405"/>
      <c r="N1008" s="1405"/>
      <c r="O1008" s="1405"/>
      <c r="P1008" s="1405"/>
      <c r="Q1008" s="1405"/>
      <c r="R1008" s="1405"/>
      <c r="S1008" s="1405"/>
      <c r="T1008" s="1405"/>
      <c r="U1008" s="1405"/>
      <c r="V1008" s="1405"/>
      <c r="W1008" s="1405"/>
      <c r="X1008" s="1405"/>
      <c r="Y1008" s="1405"/>
      <c r="Z1008" s="1405"/>
      <c r="AA1008" s="1405"/>
      <c r="AB1008" s="1405"/>
      <c r="AC1008" s="1405"/>
      <c r="AD1008" s="1405"/>
      <c r="AE1008" s="1296"/>
      <c r="AF1008" s="73"/>
      <c r="AG1008" s="14"/>
      <c r="AH1008" s="14"/>
      <c r="AI1008" s="83"/>
      <c r="AJ1008" s="1403"/>
      <c r="AK1008" s="1298"/>
      <c r="AL1008" s="1298"/>
      <c r="AM1008" s="1298"/>
      <c r="AN1008" s="1298"/>
      <c r="AO1008" s="1298"/>
      <c r="AP1008" s="1298"/>
      <c r="AQ1008" s="1383"/>
      <c r="AR1008" s="68"/>
      <c r="AS1008" s="68"/>
      <c r="AT1008" s="68"/>
      <c r="AU1008" s="68"/>
      <c r="AV1008" s="68"/>
      <c r="AW1008" s="68"/>
      <c r="AX1008" s="68"/>
      <c r="AY1008" s="68"/>
      <c r="AZ1008" s="34"/>
      <c r="BA1008" s="34"/>
      <c r="BB1008" s="34"/>
      <c r="BC1008" s="34"/>
    </row>
    <row r="1009" spans="1:55" ht="12.9" customHeight="1">
      <c r="A1009" s="14"/>
      <c r="B1009" s="257"/>
      <c r="C1009" s="256"/>
      <c r="D1009" s="1633"/>
      <c r="E1009" s="1374"/>
      <c r="F1009" s="1374"/>
      <c r="G1009" s="1374"/>
      <c r="H1009" s="1374"/>
      <c r="I1009" s="1374"/>
      <c r="J1009" s="1374"/>
      <c r="K1009" s="1374"/>
      <c r="L1009" s="1374"/>
      <c r="M1009" s="1374"/>
      <c r="N1009" s="1374"/>
      <c r="O1009" s="1374"/>
      <c r="P1009" s="1374"/>
      <c r="Q1009" s="1374"/>
      <c r="R1009" s="1374"/>
      <c r="S1009" s="1374"/>
      <c r="T1009" s="1374"/>
      <c r="U1009" s="1374"/>
      <c r="V1009" s="1374"/>
      <c r="W1009" s="1374"/>
      <c r="X1009" s="1374"/>
      <c r="Y1009" s="1374"/>
      <c r="Z1009" s="1374"/>
      <c r="AA1009" s="1374"/>
      <c r="AB1009" s="1374"/>
      <c r="AC1009" s="1374"/>
      <c r="AD1009" s="1374"/>
      <c r="AE1009" s="1375"/>
      <c r="AF1009" s="77"/>
      <c r="AG1009" s="7"/>
      <c r="AH1009" s="7"/>
      <c r="AI1009" s="78"/>
      <c r="AJ1009" s="1404"/>
      <c r="AK1009" s="1405"/>
      <c r="AL1009" s="1405"/>
      <c r="AM1009" s="1405"/>
      <c r="AN1009" s="1405"/>
      <c r="AO1009" s="1405"/>
      <c r="AP1009" s="1405"/>
      <c r="AQ1009" s="1296"/>
      <c r="AR1009" s="68"/>
      <c r="AS1009" s="68"/>
      <c r="AT1009" s="68"/>
      <c r="AU1009" s="68"/>
      <c r="AV1009" s="68"/>
      <c r="AW1009" s="68"/>
      <c r="AX1009" s="68"/>
      <c r="AY1009" s="68"/>
      <c r="AZ1009" s="34"/>
      <c r="BA1009" s="34"/>
      <c r="BB1009" s="34"/>
      <c r="BC1009" s="34"/>
    </row>
    <row r="1010" spans="1:55" ht="12.9" customHeight="1">
      <c r="A1010" s="14"/>
      <c r="B1010" s="255"/>
      <c r="C1010" s="318"/>
      <c r="D1010" s="1382" t="s">
        <v>1738</v>
      </c>
      <c r="E1010" s="1298"/>
      <c r="F1010" s="1298"/>
      <c r="G1010" s="1298"/>
      <c r="H1010" s="1298"/>
      <c r="I1010" s="1298"/>
      <c r="J1010" s="1298"/>
      <c r="K1010" s="1298"/>
      <c r="L1010" s="1298"/>
      <c r="M1010" s="1298"/>
      <c r="N1010" s="1298"/>
      <c r="O1010" s="1298"/>
      <c r="P1010" s="1298"/>
      <c r="Q1010" s="1298"/>
      <c r="R1010" s="1298"/>
      <c r="S1010" s="1298"/>
      <c r="T1010" s="1298"/>
      <c r="U1010" s="1298"/>
      <c r="V1010" s="1298"/>
      <c r="W1010" s="1298"/>
      <c r="X1010" s="1298"/>
      <c r="Y1010" s="1298"/>
      <c r="Z1010" s="1298"/>
      <c r="AA1010" s="1298"/>
      <c r="AB1010" s="1298"/>
      <c r="AC1010" s="1298"/>
      <c r="AD1010" s="1298"/>
      <c r="AE1010" s="1383"/>
      <c r="AF1010" s="79"/>
      <c r="AG1010" s="1390" t="s">
        <v>811</v>
      </c>
      <c r="AH1010" s="1375"/>
      <c r="AI1010" s="87"/>
      <c r="AJ1010" s="1443">
        <f>ROUND(IF(AG1010="yes",AJ1001*0.05,0),0)</f>
        <v>0</v>
      </c>
      <c r="AK1010" s="1417"/>
      <c r="AL1010" s="1417"/>
      <c r="AM1010" s="1417"/>
      <c r="AN1010" s="1417"/>
      <c r="AO1010" s="1417"/>
      <c r="AP1010" s="1417"/>
      <c r="AQ1010" s="1423"/>
      <c r="AR1010" s="68"/>
      <c r="AS1010" s="68"/>
      <c r="AT1010" s="68"/>
      <c r="AU1010" s="68"/>
      <c r="AV1010" s="68"/>
      <c r="AW1010" s="68"/>
      <c r="AX1010" s="68"/>
      <c r="AY1010" s="68"/>
      <c r="AZ1010" s="34"/>
      <c r="BA1010" s="34"/>
      <c r="BB1010" s="34"/>
      <c r="BC1010" s="34"/>
    </row>
    <row r="1011" spans="1:55" ht="12.9" customHeight="1">
      <c r="A1011" s="14"/>
      <c r="B1011" s="257"/>
      <c r="C1011" s="82"/>
      <c r="D1011" s="1623" t="s">
        <v>1739</v>
      </c>
      <c r="E1011" s="1298"/>
      <c r="F1011" s="1298"/>
      <c r="G1011" s="1298"/>
      <c r="H1011" s="1298"/>
      <c r="I1011" s="1298"/>
      <c r="J1011" s="1298"/>
      <c r="K1011" s="1298"/>
      <c r="L1011" s="1298"/>
      <c r="M1011" s="1298"/>
      <c r="N1011" s="1298"/>
      <c r="O1011" s="1298"/>
      <c r="P1011" s="1298"/>
      <c r="Q1011" s="1298"/>
      <c r="R1011" s="1298"/>
      <c r="S1011" s="1298"/>
      <c r="T1011" s="1298"/>
      <c r="U1011" s="1298"/>
      <c r="V1011" s="1298"/>
      <c r="W1011" s="1298"/>
      <c r="X1011" s="1298"/>
      <c r="Y1011" s="1298"/>
      <c r="Z1011" s="1298"/>
      <c r="AA1011" s="1298"/>
      <c r="AB1011" s="1298"/>
      <c r="AC1011" s="1298"/>
      <c r="AD1011" s="1298"/>
      <c r="AE1011" s="1383"/>
      <c r="AF1011" s="73"/>
      <c r="AG1011" s="14"/>
      <c r="AH1011" s="14"/>
      <c r="AI1011" s="83"/>
      <c r="AJ1011" s="1403"/>
      <c r="AK1011" s="1298"/>
      <c r="AL1011" s="1298"/>
      <c r="AM1011" s="1298"/>
      <c r="AN1011" s="1298"/>
      <c r="AO1011" s="1298"/>
      <c r="AP1011" s="1298"/>
      <c r="AQ1011" s="1383"/>
      <c r="AR1011" s="68"/>
      <c r="AS1011" s="68"/>
      <c r="AT1011" s="68"/>
      <c r="AU1011" s="68"/>
      <c r="AV1011" s="68"/>
      <c r="AW1011" s="68"/>
      <c r="AX1011" s="68"/>
      <c r="AY1011" s="34"/>
      <c r="AZ1011" s="34"/>
      <c r="BB1011" s="34"/>
    </row>
    <row r="1012" spans="1:55" ht="12.9" customHeight="1">
      <c r="A1012" s="14"/>
      <c r="B1012" s="257"/>
      <c r="C1012" s="82"/>
      <c r="D1012" s="1403"/>
      <c r="E1012" s="1298"/>
      <c r="F1012" s="1298"/>
      <c r="G1012" s="1298"/>
      <c r="H1012" s="1298"/>
      <c r="I1012" s="1298"/>
      <c r="J1012" s="1298"/>
      <c r="K1012" s="1298"/>
      <c r="L1012" s="1298"/>
      <c r="M1012" s="1298"/>
      <c r="N1012" s="1298"/>
      <c r="O1012" s="1298"/>
      <c r="P1012" s="1298"/>
      <c r="Q1012" s="1298"/>
      <c r="R1012" s="1298"/>
      <c r="S1012" s="1298"/>
      <c r="T1012" s="1298"/>
      <c r="U1012" s="1298"/>
      <c r="V1012" s="1298"/>
      <c r="W1012" s="1298"/>
      <c r="X1012" s="1298"/>
      <c r="Y1012" s="1298"/>
      <c r="Z1012" s="1298"/>
      <c r="AA1012" s="1298"/>
      <c r="AB1012" s="1298"/>
      <c r="AC1012" s="1298"/>
      <c r="AD1012" s="1298"/>
      <c r="AE1012" s="1383"/>
      <c r="AF1012" s="73"/>
      <c r="AG1012" s="14"/>
      <c r="AH1012" s="14"/>
      <c r="AI1012" s="83"/>
      <c r="AJ1012" s="1403"/>
      <c r="AK1012" s="1298"/>
      <c r="AL1012" s="1298"/>
      <c r="AM1012" s="1298"/>
      <c r="AN1012" s="1298"/>
      <c r="AO1012" s="1298"/>
      <c r="AP1012" s="1298"/>
      <c r="AQ1012" s="1383"/>
      <c r="AR1012" s="68"/>
      <c r="AS1012" s="68"/>
      <c r="AT1012" s="68"/>
      <c r="AU1012" s="68"/>
      <c r="AV1012" s="68"/>
      <c r="AW1012" s="68"/>
      <c r="AX1012" s="68"/>
      <c r="AY1012" s="910">
        <f>G761+O805</f>
        <v>64</v>
      </c>
      <c r="AZ1012" s="34"/>
      <c r="BB1012" s="34"/>
    </row>
    <row r="1013" spans="1:55" ht="12.9" customHeight="1">
      <c r="A1013" s="14"/>
      <c r="B1013" s="257"/>
      <c r="C1013" s="82"/>
      <c r="D1013" s="1403"/>
      <c r="E1013" s="1298"/>
      <c r="F1013" s="1298"/>
      <c r="G1013" s="1298"/>
      <c r="H1013" s="1298"/>
      <c r="I1013" s="1298"/>
      <c r="J1013" s="1298"/>
      <c r="K1013" s="1298"/>
      <c r="L1013" s="1298"/>
      <c r="M1013" s="1298"/>
      <c r="N1013" s="1298"/>
      <c r="O1013" s="1298"/>
      <c r="P1013" s="1298"/>
      <c r="Q1013" s="1298"/>
      <c r="R1013" s="1298"/>
      <c r="S1013" s="1298"/>
      <c r="T1013" s="1298"/>
      <c r="U1013" s="1298"/>
      <c r="V1013" s="1298"/>
      <c r="W1013" s="1298"/>
      <c r="X1013" s="1298"/>
      <c r="Y1013" s="1298"/>
      <c r="Z1013" s="1298"/>
      <c r="AA1013" s="1298"/>
      <c r="AB1013" s="1298"/>
      <c r="AC1013" s="1298"/>
      <c r="AD1013" s="1298"/>
      <c r="AE1013" s="1383"/>
      <c r="AF1013" s="73"/>
      <c r="AG1013" s="14"/>
      <c r="AH1013" s="14"/>
      <c r="AI1013" s="83"/>
      <c r="AJ1013" s="1403"/>
      <c r="AK1013" s="1298"/>
      <c r="AL1013" s="1298"/>
      <c r="AM1013" s="1298"/>
      <c r="AN1013" s="1298"/>
      <c r="AO1013" s="1298"/>
      <c r="AP1013" s="1298"/>
      <c r="AQ1013" s="1383"/>
      <c r="AR1013" s="68"/>
      <c r="AS1013" s="68"/>
      <c r="AT1013" s="68"/>
      <c r="AU1013" s="68"/>
      <c r="AV1013" s="68"/>
      <c r="AW1013" s="68"/>
      <c r="AX1013" s="68"/>
      <c r="AY1013" s="14"/>
      <c r="AZ1013" s="34"/>
      <c r="BB1013" s="34"/>
    </row>
    <row r="1014" spans="1:55" ht="12.9" customHeight="1">
      <c r="A1014" s="14"/>
      <c r="B1014" s="257"/>
      <c r="C1014" s="82"/>
      <c r="D1014" s="1403"/>
      <c r="E1014" s="1298"/>
      <c r="F1014" s="1298"/>
      <c r="G1014" s="1298"/>
      <c r="H1014" s="1298"/>
      <c r="I1014" s="1298"/>
      <c r="J1014" s="1298"/>
      <c r="K1014" s="1298"/>
      <c r="L1014" s="1298"/>
      <c r="M1014" s="1298"/>
      <c r="N1014" s="1298"/>
      <c r="O1014" s="1298"/>
      <c r="P1014" s="1298"/>
      <c r="Q1014" s="1298"/>
      <c r="R1014" s="1298"/>
      <c r="S1014" s="1298"/>
      <c r="T1014" s="1298"/>
      <c r="U1014" s="1298"/>
      <c r="V1014" s="1298"/>
      <c r="W1014" s="1298"/>
      <c r="X1014" s="1298"/>
      <c r="Y1014" s="1298"/>
      <c r="Z1014" s="1298"/>
      <c r="AA1014" s="1298"/>
      <c r="AB1014" s="1298"/>
      <c r="AC1014" s="1298"/>
      <c r="AD1014" s="1298"/>
      <c r="AE1014" s="1383"/>
      <c r="AF1014" s="73"/>
      <c r="AG1014" s="14"/>
      <c r="AH1014" s="14"/>
      <c r="AI1014" s="83"/>
      <c r="AJ1014" s="1403"/>
      <c r="AK1014" s="1298"/>
      <c r="AL1014" s="1298"/>
      <c r="AM1014" s="1298"/>
      <c r="AN1014" s="1298"/>
      <c r="AO1014" s="1298"/>
      <c r="AP1014" s="1298"/>
      <c r="AQ1014" s="1383"/>
      <c r="AR1014" s="68"/>
      <c r="AS1014" s="68"/>
      <c r="AT1014" s="68"/>
      <c r="AU1014" s="68"/>
      <c r="AV1014" s="68"/>
      <c r="AW1014" s="68"/>
      <c r="AX1014" s="68"/>
      <c r="AY1014" s="909">
        <f>ROUNDDOWN(X1057/I1057,2)</f>
        <v>0.56000000000000005</v>
      </c>
      <c r="AZ1014" s="34"/>
      <c r="BB1014" s="34"/>
    </row>
    <row r="1015" spans="1:55" ht="12.9" customHeight="1">
      <c r="A1015" s="14"/>
      <c r="B1015" s="75"/>
      <c r="C1015" s="76"/>
      <c r="D1015" s="1404"/>
      <c r="E1015" s="1405"/>
      <c r="F1015" s="1405"/>
      <c r="G1015" s="1405"/>
      <c r="H1015" s="1405"/>
      <c r="I1015" s="1405"/>
      <c r="J1015" s="1405"/>
      <c r="K1015" s="1405"/>
      <c r="L1015" s="1405"/>
      <c r="M1015" s="1405"/>
      <c r="N1015" s="1405"/>
      <c r="O1015" s="1405"/>
      <c r="P1015" s="1405"/>
      <c r="Q1015" s="1405"/>
      <c r="R1015" s="1405"/>
      <c r="S1015" s="1405"/>
      <c r="T1015" s="1405"/>
      <c r="U1015" s="1405"/>
      <c r="V1015" s="1405"/>
      <c r="W1015" s="1405"/>
      <c r="X1015" s="1405"/>
      <c r="Y1015" s="1405"/>
      <c r="Z1015" s="1405"/>
      <c r="AA1015" s="1405"/>
      <c r="AB1015" s="1405"/>
      <c r="AC1015" s="1405"/>
      <c r="AD1015" s="1405"/>
      <c r="AE1015" s="1296"/>
      <c r="AF1015" s="77"/>
      <c r="AG1015" s="7"/>
      <c r="AH1015" s="7"/>
      <c r="AI1015" s="78"/>
      <c r="AJ1015" s="1404"/>
      <c r="AK1015" s="1405"/>
      <c r="AL1015" s="1405"/>
      <c r="AM1015" s="1405"/>
      <c r="AN1015" s="1405"/>
      <c r="AO1015" s="1405"/>
      <c r="AP1015" s="1405"/>
      <c r="AQ1015" s="1296"/>
      <c r="AR1015" s="68"/>
      <c r="AS1015" s="68"/>
      <c r="AT1015" s="68"/>
      <c r="AU1015" s="68"/>
      <c r="AV1015" s="68"/>
      <c r="AW1015" s="68"/>
      <c r="AX1015" s="68"/>
      <c r="AY1015" s="909">
        <f>ROUNDDOWN(X1061/I1061,2)</f>
        <v>0.14000000000000001</v>
      </c>
      <c r="AZ1015" s="34"/>
      <c r="BB1015" s="34"/>
    </row>
    <row r="1016" spans="1:55" ht="12.9" customHeight="1">
      <c r="A1016" s="14"/>
      <c r="B1016" s="255"/>
      <c r="C1016" s="80" t="s">
        <v>1740</v>
      </c>
      <c r="D1016" s="1382" t="s">
        <v>1741</v>
      </c>
      <c r="E1016" s="1298"/>
      <c r="F1016" s="1298"/>
      <c r="G1016" s="1298"/>
      <c r="H1016" s="1298"/>
      <c r="I1016" s="1298"/>
      <c r="J1016" s="1298"/>
      <c r="K1016" s="1298"/>
      <c r="L1016" s="1298"/>
      <c r="M1016" s="1298"/>
      <c r="N1016" s="1298"/>
      <c r="O1016" s="1298"/>
      <c r="P1016" s="1298"/>
      <c r="Q1016" s="1298"/>
      <c r="R1016" s="1298"/>
      <c r="S1016" s="1298"/>
      <c r="T1016" s="1298"/>
      <c r="U1016" s="1298"/>
      <c r="V1016" s="1298"/>
      <c r="W1016" s="1298"/>
      <c r="X1016" s="1298"/>
      <c r="Y1016" s="1298"/>
      <c r="Z1016" s="1298"/>
      <c r="AA1016" s="1298"/>
      <c r="AB1016" s="1298"/>
      <c r="AC1016" s="1298"/>
      <c r="AD1016" s="1298"/>
      <c r="AE1016" s="1383"/>
      <c r="AF1016" s="86"/>
      <c r="AG1016" s="1390" t="s">
        <v>811</v>
      </c>
      <c r="AH1016" s="1375"/>
      <c r="AI1016" s="87"/>
      <c r="AJ1016" s="1443">
        <f>ROUND(IF(AG1016="yes",AJ1001*0.1,0),0)</f>
        <v>0</v>
      </c>
      <c r="AK1016" s="1417"/>
      <c r="AL1016" s="1417"/>
      <c r="AM1016" s="1417"/>
      <c r="AN1016" s="1417"/>
      <c r="AO1016" s="1417"/>
      <c r="AP1016" s="1417"/>
      <c r="AQ1016" s="1423"/>
      <c r="AR1016" s="68"/>
      <c r="AS1016" s="68"/>
      <c r="AT1016" s="68"/>
      <c r="AU1016" s="68"/>
      <c r="AV1016" s="68"/>
      <c r="AW1016" s="68"/>
      <c r="AX1016" s="68"/>
      <c r="BB1016" s="34"/>
    </row>
    <row r="1017" spans="1:55" ht="12.9" customHeight="1">
      <c r="A1017" s="14"/>
      <c r="B1017" s="73"/>
      <c r="C1017" s="74"/>
      <c r="D1017" s="1458" t="s">
        <v>1742</v>
      </c>
      <c r="E1017" s="1298"/>
      <c r="F1017" s="1298"/>
      <c r="G1017" s="1298"/>
      <c r="H1017" s="1298"/>
      <c r="I1017" s="1298"/>
      <c r="J1017" s="1298"/>
      <c r="K1017" s="1298"/>
      <c r="L1017" s="1298"/>
      <c r="M1017" s="1298"/>
      <c r="N1017" s="1298"/>
      <c r="O1017" s="1298"/>
      <c r="P1017" s="1298"/>
      <c r="Q1017" s="1298"/>
      <c r="R1017" s="1298"/>
      <c r="S1017" s="1298"/>
      <c r="T1017" s="1298"/>
      <c r="U1017" s="1298"/>
      <c r="V1017" s="1298"/>
      <c r="W1017" s="1298"/>
      <c r="X1017" s="1298"/>
      <c r="Y1017" s="1298"/>
      <c r="Z1017" s="1298"/>
      <c r="AA1017" s="1298"/>
      <c r="AB1017" s="1298"/>
      <c r="AC1017" s="1298"/>
      <c r="AD1017" s="1298"/>
      <c r="AE1017" s="1383"/>
      <c r="AF1017" s="73"/>
      <c r="AI1017" s="83"/>
      <c r="AJ1017" s="1403"/>
      <c r="AK1017" s="1298"/>
      <c r="AL1017" s="1298"/>
      <c r="AM1017" s="1298"/>
      <c r="AN1017" s="1298"/>
      <c r="AO1017" s="1298"/>
      <c r="AP1017" s="1298"/>
      <c r="AQ1017" s="1383"/>
      <c r="AR1017" s="68"/>
      <c r="AS1017" s="68"/>
      <c r="AT1017" s="68"/>
      <c r="AU1017" s="68"/>
      <c r="AV1017" s="68"/>
      <c r="AW1017" s="68"/>
      <c r="AX1017" s="68"/>
    </row>
    <row r="1018" spans="1:55" ht="12.9" customHeight="1">
      <c r="A1018" s="14"/>
      <c r="B1018" s="73"/>
      <c r="C1018" s="74"/>
      <c r="D1018" s="1403"/>
      <c r="E1018" s="1298"/>
      <c r="F1018" s="1298"/>
      <c r="G1018" s="1298"/>
      <c r="H1018" s="1298"/>
      <c r="I1018" s="1298"/>
      <c r="J1018" s="1298"/>
      <c r="K1018" s="1298"/>
      <c r="L1018" s="1298"/>
      <c r="M1018" s="1298"/>
      <c r="N1018" s="1298"/>
      <c r="O1018" s="1298"/>
      <c r="P1018" s="1298"/>
      <c r="Q1018" s="1298"/>
      <c r="R1018" s="1298"/>
      <c r="S1018" s="1298"/>
      <c r="T1018" s="1298"/>
      <c r="U1018" s="1298"/>
      <c r="V1018" s="1298"/>
      <c r="W1018" s="1298"/>
      <c r="X1018" s="1298"/>
      <c r="Y1018" s="1298"/>
      <c r="Z1018" s="1298"/>
      <c r="AA1018" s="1298"/>
      <c r="AB1018" s="1298"/>
      <c r="AC1018" s="1298"/>
      <c r="AD1018" s="1298"/>
      <c r="AE1018" s="1383"/>
      <c r="AF1018" s="73"/>
      <c r="AG1018" s="14"/>
      <c r="AH1018" s="14"/>
      <c r="AI1018" s="83"/>
      <c r="AJ1018" s="1403"/>
      <c r="AK1018" s="1298"/>
      <c r="AL1018" s="1298"/>
      <c r="AM1018" s="1298"/>
      <c r="AN1018" s="1298"/>
      <c r="AO1018" s="1298"/>
      <c r="AP1018" s="1298"/>
      <c r="AQ1018" s="1383"/>
      <c r="AR1018" s="68"/>
      <c r="AS1018" s="68"/>
      <c r="AT1018" s="68"/>
      <c r="AU1018" s="68"/>
      <c r="AV1018" s="68"/>
      <c r="AW1018" s="68"/>
      <c r="AX1018" s="68"/>
    </row>
    <row r="1019" spans="1:55" ht="12.9" customHeight="1">
      <c r="A1019" s="14"/>
      <c r="B1019" s="85"/>
      <c r="C1019" s="76"/>
      <c r="D1019" s="1404"/>
      <c r="E1019" s="1405"/>
      <c r="F1019" s="1405"/>
      <c r="G1019" s="1405"/>
      <c r="H1019" s="1405"/>
      <c r="I1019" s="1405"/>
      <c r="J1019" s="1405"/>
      <c r="K1019" s="1405"/>
      <c r="L1019" s="1405"/>
      <c r="M1019" s="1405"/>
      <c r="N1019" s="1405"/>
      <c r="O1019" s="1405"/>
      <c r="P1019" s="1405"/>
      <c r="Q1019" s="1405"/>
      <c r="R1019" s="1405"/>
      <c r="S1019" s="1405"/>
      <c r="T1019" s="1405"/>
      <c r="U1019" s="1405"/>
      <c r="V1019" s="1405"/>
      <c r="W1019" s="1405"/>
      <c r="X1019" s="1405"/>
      <c r="Y1019" s="1405"/>
      <c r="Z1019" s="1405"/>
      <c r="AA1019" s="1405"/>
      <c r="AB1019" s="1405"/>
      <c r="AC1019" s="1405"/>
      <c r="AD1019" s="1405"/>
      <c r="AE1019" s="1296"/>
      <c r="AF1019" s="77"/>
      <c r="AG1019" s="7"/>
      <c r="AH1019" s="7"/>
      <c r="AI1019" s="78"/>
      <c r="AJ1019" s="1404"/>
      <c r="AK1019" s="1405"/>
      <c r="AL1019" s="1405"/>
      <c r="AM1019" s="1405"/>
      <c r="AN1019" s="1405"/>
      <c r="AO1019" s="1405"/>
      <c r="AP1019" s="1405"/>
      <c r="AQ1019" s="1296"/>
      <c r="AR1019" s="68"/>
      <c r="AS1019" s="68"/>
      <c r="AT1019" s="68"/>
      <c r="AU1019" s="68"/>
      <c r="AV1019" s="68"/>
      <c r="AW1019" s="68"/>
      <c r="AX1019" s="68"/>
    </row>
    <row r="1020" spans="1:55" ht="12.9" customHeight="1">
      <c r="A1020" s="14"/>
      <c r="B1020" s="79"/>
      <c r="C1020" s="80" t="s">
        <v>1743</v>
      </c>
      <c r="D1020" s="1382" t="s">
        <v>1744</v>
      </c>
      <c r="E1020" s="1298"/>
      <c r="F1020" s="1298"/>
      <c r="G1020" s="1298"/>
      <c r="H1020" s="1298"/>
      <c r="I1020" s="1298"/>
      <c r="J1020" s="1298"/>
      <c r="K1020" s="1298"/>
      <c r="L1020" s="1298"/>
      <c r="M1020" s="1298"/>
      <c r="N1020" s="1298"/>
      <c r="O1020" s="1298"/>
      <c r="P1020" s="1298"/>
      <c r="Q1020" s="1298"/>
      <c r="R1020" s="1298"/>
      <c r="S1020" s="1298"/>
      <c r="T1020" s="1298"/>
      <c r="U1020" s="1298"/>
      <c r="V1020" s="1298"/>
      <c r="W1020" s="1298"/>
      <c r="X1020" s="1298"/>
      <c r="Y1020" s="1298"/>
      <c r="Z1020" s="1298"/>
      <c r="AA1020" s="1298"/>
      <c r="AB1020" s="1298"/>
      <c r="AC1020" s="1298"/>
      <c r="AD1020" s="1298"/>
      <c r="AE1020" s="1383"/>
      <c r="AF1020" s="79"/>
      <c r="AG1020" s="1390" t="s">
        <v>811</v>
      </c>
      <c r="AH1020" s="1375"/>
      <c r="AI1020" s="87"/>
      <c r="AJ1020" s="1443">
        <f>ROUND(IF(AG1020="yes",AJ1001*0.02,0),0)</f>
        <v>0</v>
      </c>
      <c r="AK1020" s="1417"/>
      <c r="AL1020" s="1417"/>
      <c r="AM1020" s="1417"/>
      <c r="AN1020" s="1417"/>
      <c r="AO1020" s="1417"/>
      <c r="AP1020" s="1417"/>
      <c r="AQ1020" s="1423"/>
      <c r="AR1020" s="68"/>
      <c r="AS1020" s="68"/>
      <c r="AT1020" s="68"/>
      <c r="AU1020" s="68"/>
      <c r="AV1020" s="68"/>
      <c r="AW1020" s="68"/>
      <c r="AX1020" s="68"/>
    </row>
    <row r="1021" spans="1:55" ht="14.25" customHeight="1">
      <c r="A1021" s="14"/>
      <c r="B1021" s="73"/>
      <c r="C1021" s="74"/>
      <c r="D1021" s="1458" t="s">
        <v>1745</v>
      </c>
      <c r="E1021" s="1405"/>
      <c r="F1021" s="1405"/>
      <c r="G1021" s="1405"/>
      <c r="H1021" s="1405"/>
      <c r="I1021" s="1405"/>
      <c r="J1021" s="1405"/>
      <c r="K1021" s="1405"/>
      <c r="L1021" s="1405"/>
      <c r="M1021" s="1405"/>
      <c r="N1021" s="1405"/>
      <c r="O1021" s="1405"/>
      <c r="P1021" s="1405"/>
      <c r="Q1021" s="1405"/>
      <c r="R1021" s="1405"/>
      <c r="S1021" s="1405"/>
      <c r="T1021" s="1405"/>
      <c r="U1021" s="1405"/>
      <c r="V1021" s="1405"/>
      <c r="W1021" s="1405"/>
      <c r="X1021" s="1405"/>
      <c r="Y1021" s="1405"/>
      <c r="Z1021" s="1405"/>
      <c r="AA1021" s="1405"/>
      <c r="AB1021" s="1405"/>
      <c r="AC1021" s="1405"/>
      <c r="AD1021" s="1405"/>
      <c r="AE1021" s="1296"/>
      <c r="AF1021" s="77"/>
      <c r="AG1021" s="7"/>
      <c r="AH1021" s="7"/>
      <c r="AI1021" s="78"/>
      <c r="AJ1021" s="1404"/>
      <c r="AK1021" s="1405"/>
      <c r="AL1021" s="1405"/>
      <c r="AM1021" s="1405"/>
      <c r="AN1021" s="1405"/>
      <c r="AO1021" s="1405"/>
      <c r="AP1021" s="1405"/>
      <c r="AQ1021" s="1296"/>
      <c r="AR1021" s="68"/>
      <c r="AS1021" s="68"/>
      <c r="AT1021" s="68"/>
      <c r="AU1021" s="68"/>
      <c r="AV1021" s="68"/>
      <c r="AW1021" s="68"/>
      <c r="AX1021" s="3" t="s">
        <v>1746</v>
      </c>
      <c r="AZ1021" s="3" t="s">
        <v>1747</v>
      </c>
    </row>
    <row r="1022" spans="1:55" ht="12.9" customHeight="1">
      <c r="A1022" s="14"/>
      <c r="B1022" s="79"/>
      <c r="C1022" s="80" t="s">
        <v>1748</v>
      </c>
      <c r="D1022" s="1382" t="s">
        <v>1749</v>
      </c>
      <c r="E1022" s="1298"/>
      <c r="F1022" s="1298"/>
      <c r="G1022" s="1298"/>
      <c r="H1022" s="1298"/>
      <c r="I1022" s="1298"/>
      <c r="J1022" s="1298"/>
      <c r="K1022" s="1298"/>
      <c r="L1022" s="1298"/>
      <c r="M1022" s="1298"/>
      <c r="N1022" s="1298"/>
      <c r="O1022" s="1298"/>
      <c r="P1022" s="1298"/>
      <c r="Q1022" s="1298"/>
      <c r="R1022" s="1298"/>
      <c r="S1022" s="1298"/>
      <c r="T1022" s="1298"/>
      <c r="U1022" s="1298"/>
      <c r="V1022" s="1298"/>
      <c r="W1022" s="1298"/>
      <c r="X1022" s="1298"/>
      <c r="Y1022" s="1298"/>
      <c r="Z1022" s="1298"/>
      <c r="AA1022" s="1298"/>
      <c r="AB1022" s="1298"/>
      <c r="AC1022" s="1298"/>
      <c r="AD1022" s="1298"/>
      <c r="AE1022" s="1383"/>
      <c r="AF1022" s="79"/>
      <c r="AG1022" s="1390" t="s">
        <v>811</v>
      </c>
      <c r="AH1022" s="1375"/>
      <c r="AI1022" s="79"/>
      <c r="AJ1022" s="1443">
        <f>ROUND(IF(AG1022="yes",AJ1001*0.02,0),0)</f>
        <v>0</v>
      </c>
      <c r="AK1022" s="1417"/>
      <c r="AL1022" s="1417"/>
      <c r="AM1022" s="1417"/>
      <c r="AN1022" s="1417"/>
      <c r="AO1022" s="1417"/>
      <c r="AP1022" s="1417"/>
      <c r="AQ1022" s="1423"/>
      <c r="AR1022" s="68"/>
      <c r="AS1022" s="68"/>
      <c r="AT1022" s="68"/>
      <c r="AU1022" s="68"/>
      <c r="AV1022" s="68"/>
      <c r="AW1022" s="68"/>
      <c r="AX1022" s="3">
        <v>1</v>
      </c>
      <c r="AY1022" s="200">
        <f t="shared" ref="AY1022:AY1032" si="53">IF((_xlfn.XLOOKUP(AX1022,$C$1074:$C$1112,$A$1074:$A$1112,"",0,1))="Yes",AZ1022,0)</f>
        <v>0</v>
      </c>
      <c r="AZ1022" s="1184">
        <v>0.2</v>
      </c>
    </row>
    <row r="1023" spans="1:55" ht="12.9" customHeight="1">
      <c r="A1023" s="14"/>
      <c r="B1023" s="73"/>
      <c r="C1023" s="74"/>
      <c r="D1023" s="1458" t="s">
        <v>1750</v>
      </c>
      <c r="E1023" s="1298"/>
      <c r="F1023" s="1298"/>
      <c r="G1023" s="1298"/>
      <c r="H1023" s="1298"/>
      <c r="I1023" s="1298"/>
      <c r="J1023" s="1298"/>
      <c r="K1023" s="1298"/>
      <c r="L1023" s="1298"/>
      <c r="M1023" s="1298"/>
      <c r="N1023" s="1298"/>
      <c r="O1023" s="1298"/>
      <c r="P1023" s="1298"/>
      <c r="Q1023" s="1298"/>
      <c r="R1023" s="1298"/>
      <c r="S1023" s="1298"/>
      <c r="T1023" s="1298"/>
      <c r="U1023" s="1298"/>
      <c r="V1023" s="1298"/>
      <c r="W1023" s="1298"/>
      <c r="X1023" s="1298"/>
      <c r="Y1023" s="1298"/>
      <c r="Z1023" s="1298"/>
      <c r="AA1023" s="1298"/>
      <c r="AB1023" s="1298"/>
      <c r="AC1023" s="1298"/>
      <c r="AD1023" s="1298"/>
      <c r="AE1023" s="1383"/>
      <c r="AF1023" s="1600" t="str">
        <f>IF(AND(AG1022="yes",T212&lt;&gt;1),"The project may not be eligible for this boost","")</f>
        <v/>
      </c>
      <c r="AG1023" s="1298"/>
      <c r="AH1023" s="1298"/>
      <c r="AI1023" s="1383"/>
      <c r="AJ1023" s="1403"/>
      <c r="AK1023" s="1298"/>
      <c r="AL1023" s="1298"/>
      <c r="AM1023" s="1298"/>
      <c r="AN1023" s="1298"/>
      <c r="AO1023" s="1298"/>
      <c r="AP1023" s="1298"/>
      <c r="AQ1023" s="1383"/>
      <c r="AR1023" s="68"/>
      <c r="AS1023" s="68"/>
      <c r="AT1023" s="68"/>
      <c r="AU1023" s="68"/>
      <c r="AV1023" s="68"/>
      <c r="AW1023" s="68"/>
      <c r="AX1023" s="3">
        <v>2</v>
      </c>
      <c r="AY1023" s="200">
        <f t="shared" si="53"/>
        <v>0</v>
      </c>
      <c r="AZ1023" s="1184">
        <v>0.15</v>
      </c>
    </row>
    <row r="1024" spans="1:55" ht="12.9" customHeight="1">
      <c r="A1024" s="14"/>
      <c r="B1024" s="75"/>
      <c r="C1024" s="76"/>
      <c r="D1024" s="1404"/>
      <c r="E1024" s="1405"/>
      <c r="F1024" s="1405"/>
      <c r="G1024" s="1405"/>
      <c r="H1024" s="1405"/>
      <c r="I1024" s="1405"/>
      <c r="J1024" s="1405"/>
      <c r="K1024" s="1405"/>
      <c r="L1024" s="1405"/>
      <c r="M1024" s="1405"/>
      <c r="N1024" s="1405"/>
      <c r="O1024" s="1405"/>
      <c r="P1024" s="1405"/>
      <c r="Q1024" s="1405"/>
      <c r="R1024" s="1405"/>
      <c r="S1024" s="1405"/>
      <c r="T1024" s="1405"/>
      <c r="U1024" s="1405"/>
      <c r="V1024" s="1405"/>
      <c r="W1024" s="1405"/>
      <c r="X1024" s="1405"/>
      <c r="Y1024" s="1405"/>
      <c r="Z1024" s="1405"/>
      <c r="AA1024" s="1405"/>
      <c r="AB1024" s="1405"/>
      <c r="AC1024" s="1405"/>
      <c r="AD1024" s="1405"/>
      <c r="AE1024" s="1296"/>
      <c r="AF1024" s="1404"/>
      <c r="AG1024" s="1405"/>
      <c r="AH1024" s="1405"/>
      <c r="AI1024" s="1296"/>
      <c r="AJ1024" s="1404"/>
      <c r="AK1024" s="1405"/>
      <c r="AL1024" s="1405"/>
      <c r="AM1024" s="1405"/>
      <c r="AN1024" s="1405"/>
      <c r="AO1024" s="1405"/>
      <c r="AP1024" s="1405"/>
      <c r="AQ1024" s="1296"/>
      <c r="AR1024" s="68"/>
      <c r="AS1024" s="68"/>
      <c r="AT1024" s="68"/>
      <c r="AU1024" s="68"/>
      <c r="AV1024" s="68"/>
      <c r="AW1024" s="68"/>
      <c r="AX1024" s="3">
        <v>3</v>
      </c>
      <c r="AY1024" s="200">
        <f t="shared" si="53"/>
        <v>0</v>
      </c>
      <c r="AZ1024" s="1184">
        <v>0.05</v>
      </c>
    </row>
    <row r="1025" spans="1:52" ht="12.9" customHeight="1">
      <c r="A1025" s="14"/>
      <c r="B1025" s="79"/>
      <c r="C1025" s="80" t="s">
        <v>1751</v>
      </c>
      <c r="D1025" s="1493" t="s">
        <v>1752</v>
      </c>
      <c r="E1025" s="1417"/>
      <c r="F1025" s="1417"/>
      <c r="G1025" s="1417"/>
      <c r="H1025" s="1417"/>
      <c r="I1025" s="1417"/>
      <c r="J1025" s="1417"/>
      <c r="K1025" s="1417"/>
      <c r="L1025" s="1417"/>
      <c r="M1025" s="1417"/>
      <c r="N1025" s="1417"/>
      <c r="O1025" s="1417"/>
      <c r="P1025" s="1417"/>
      <c r="Q1025" s="1417"/>
      <c r="R1025" s="1417"/>
      <c r="S1025" s="1417"/>
      <c r="T1025" s="1417"/>
      <c r="U1025" s="1417"/>
      <c r="V1025" s="1417"/>
      <c r="W1025" s="1417"/>
      <c r="X1025" s="1417"/>
      <c r="Y1025" s="1417"/>
      <c r="Z1025" s="1417"/>
      <c r="AA1025" s="1417"/>
      <c r="AB1025" s="1417"/>
      <c r="AC1025" s="1417"/>
      <c r="AD1025" s="1417"/>
      <c r="AE1025" s="1423"/>
      <c r="AF1025" s="79"/>
      <c r="AG1025" s="1390" t="s">
        <v>811</v>
      </c>
      <c r="AH1025" s="1375"/>
      <c r="AI1025" s="87"/>
      <c r="AJ1025" s="1443">
        <f>IF(AG1025="yes",AJ1001*AY1033,0)</f>
        <v>0</v>
      </c>
      <c r="AK1025" s="1417"/>
      <c r="AL1025" s="1417"/>
      <c r="AM1025" s="1417"/>
      <c r="AN1025" s="1417"/>
      <c r="AO1025" s="1417"/>
      <c r="AP1025" s="1417"/>
      <c r="AQ1025" s="1423"/>
      <c r="AR1025" s="68"/>
      <c r="AS1025" s="68"/>
      <c r="AT1025" s="68"/>
      <c r="AU1025" s="68"/>
      <c r="AV1025" s="68"/>
      <c r="AW1025" s="68"/>
      <c r="AX1025" s="3">
        <v>4</v>
      </c>
      <c r="AY1025" s="200">
        <f t="shared" si="53"/>
        <v>0</v>
      </c>
      <c r="AZ1025" s="1184">
        <v>0.02</v>
      </c>
    </row>
    <row r="1026" spans="1:52" ht="12.9" customHeight="1">
      <c r="A1026" s="14"/>
      <c r="B1026" s="73"/>
      <c r="C1026" s="74"/>
      <c r="D1026" s="1458" t="s">
        <v>1753</v>
      </c>
      <c r="E1026" s="1298"/>
      <c r="F1026" s="1298"/>
      <c r="G1026" s="1298"/>
      <c r="H1026" s="1298"/>
      <c r="I1026" s="1298"/>
      <c r="J1026" s="1298"/>
      <c r="K1026" s="1298"/>
      <c r="L1026" s="1298"/>
      <c r="M1026" s="1298"/>
      <c r="N1026" s="1298"/>
      <c r="O1026" s="1298"/>
      <c r="P1026" s="1298"/>
      <c r="Q1026" s="1298"/>
      <c r="R1026" s="1298"/>
      <c r="S1026" s="1298"/>
      <c r="T1026" s="1298"/>
      <c r="U1026" s="1298"/>
      <c r="V1026" s="1298"/>
      <c r="W1026" s="1298"/>
      <c r="X1026" s="1298"/>
      <c r="Y1026" s="1298"/>
      <c r="Z1026" s="1298"/>
      <c r="AA1026" s="1298"/>
      <c r="AB1026" s="1298"/>
      <c r="AC1026" s="1298"/>
      <c r="AD1026" s="1298"/>
      <c r="AE1026" s="1383"/>
      <c r="AF1026" s="1645" t="str">
        <f>IF(AND(AG1025="Yes",AY1033=0),AY1036,"")</f>
        <v/>
      </c>
      <c r="AG1026" s="1298"/>
      <c r="AH1026" s="1298"/>
      <c r="AI1026" s="1383"/>
      <c r="AJ1026" s="1403"/>
      <c r="AK1026" s="1298"/>
      <c r="AL1026" s="1298"/>
      <c r="AM1026" s="1298"/>
      <c r="AN1026" s="1298"/>
      <c r="AO1026" s="1298"/>
      <c r="AP1026" s="1298"/>
      <c r="AQ1026" s="1383"/>
      <c r="AR1026" s="68"/>
      <c r="AS1026" s="68"/>
      <c r="AT1026" s="68"/>
      <c r="AU1026" s="68"/>
      <c r="AV1026" s="68"/>
      <c r="AW1026" s="68"/>
      <c r="AX1026" s="3">
        <v>5</v>
      </c>
      <c r="AY1026" s="200">
        <f t="shared" si="53"/>
        <v>0</v>
      </c>
      <c r="AZ1026" s="1184">
        <v>0.04</v>
      </c>
    </row>
    <row r="1027" spans="1:52" ht="12.9" customHeight="1">
      <c r="A1027" s="14"/>
      <c r="B1027" s="73"/>
      <c r="C1027" s="74"/>
      <c r="D1027" s="1403"/>
      <c r="E1027" s="1298"/>
      <c r="F1027" s="1298"/>
      <c r="G1027" s="1298"/>
      <c r="H1027" s="1298"/>
      <c r="I1027" s="1298"/>
      <c r="J1027" s="1298"/>
      <c r="K1027" s="1298"/>
      <c r="L1027" s="1298"/>
      <c r="M1027" s="1298"/>
      <c r="N1027" s="1298"/>
      <c r="O1027" s="1298"/>
      <c r="P1027" s="1298"/>
      <c r="Q1027" s="1298"/>
      <c r="R1027" s="1298"/>
      <c r="S1027" s="1298"/>
      <c r="T1027" s="1298"/>
      <c r="U1027" s="1298"/>
      <c r="V1027" s="1298"/>
      <c r="W1027" s="1298"/>
      <c r="X1027" s="1298"/>
      <c r="Y1027" s="1298"/>
      <c r="Z1027" s="1298"/>
      <c r="AA1027" s="1298"/>
      <c r="AB1027" s="1298"/>
      <c r="AC1027" s="1298"/>
      <c r="AD1027" s="1298"/>
      <c r="AE1027" s="1383"/>
      <c r="AF1027" s="1403"/>
      <c r="AG1027" s="1298"/>
      <c r="AH1027" s="1298"/>
      <c r="AI1027" s="1383"/>
      <c r="AJ1027" s="1403"/>
      <c r="AK1027" s="1298"/>
      <c r="AL1027" s="1298"/>
      <c r="AM1027" s="1298"/>
      <c r="AN1027" s="1298"/>
      <c r="AO1027" s="1298"/>
      <c r="AP1027" s="1298"/>
      <c r="AQ1027" s="1383"/>
      <c r="AR1027" s="68"/>
      <c r="AS1027" s="68"/>
      <c r="AT1027" s="68"/>
      <c r="AU1027" s="68"/>
      <c r="AV1027" s="68"/>
      <c r="AW1027" s="68"/>
      <c r="AX1027" s="3">
        <v>6</v>
      </c>
      <c r="AY1027" s="200">
        <f t="shared" si="53"/>
        <v>0</v>
      </c>
      <c r="AZ1027" s="1184">
        <v>0.04</v>
      </c>
    </row>
    <row r="1028" spans="1:52" ht="12.9" customHeight="1">
      <c r="A1028" s="14"/>
      <c r="B1028" s="81"/>
      <c r="C1028" s="82"/>
      <c r="D1028" s="1404"/>
      <c r="E1028" s="1405"/>
      <c r="F1028" s="1405"/>
      <c r="G1028" s="1405"/>
      <c r="H1028" s="1405"/>
      <c r="I1028" s="1405"/>
      <c r="J1028" s="1405"/>
      <c r="K1028" s="1405"/>
      <c r="L1028" s="1405"/>
      <c r="M1028" s="1405"/>
      <c r="N1028" s="1405"/>
      <c r="O1028" s="1405"/>
      <c r="P1028" s="1405"/>
      <c r="Q1028" s="1405"/>
      <c r="R1028" s="1405"/>
      <c r="S1028" s="1405"/>
      <c r="T1028" s="1405"/>
      <c r="U1028" s="1405"/>
      <c r="V1028" s="1405"/>
      <c r="W1028" s="1405"/>
      <c r="X1028" s="1405"/>
      <c r="Y1028" s="1405"/>
      <c r="Z1028" s="1405"/>
      <c r="AA1028" s="1405"/>
      <c r="AB1028" s="1405"/>
      <c r="AC1028" s="1405"/>
      <c r="AD1028" s="1405"/>
      <c r="AE1028" s="1296"/>
      <c r="AF1028" s="1404"/>
      <c r="AG1028" s="1405"/>
      <c r="AH1028" s="1405"/>
      <c r="AI1028" s="1296"/>
      <c r="AJ1028" s="1404"/>
      <c r="AK1028" s="1405"/>
      <c r="AL1028" s="1405"/>
      <c r="AM1028" s="1405"/>
      <c r="AN1028" s="1405"/>
      <c r="AO1028" s="1405"/>
      <c r="AP1028" s="1405"/>
      <c r="AQ1028" s="1296"/>
      <c r="AR1028" s="68"/>
      <c r="AS1028" s="68"/>
      <c r="AT1028" s="68"/>
      <c r="AU1028" s="68"/>
      <c r="AV1028" s="68"/>
      <c r="AW1028" s="68"/>
      <c r="AX1028" s="3">
        <v>7</v>
      </c>
      <c r="AY1028" s="200">
        <f t="shared" si="53"/>
        <v>0</v>
      </c>
      <c r="AZ1028" s="1184">
        <v>0.01</v>
      </c>
    </row>
    <row r="1029" spans="1:52" ht="12.9" customHeight="1">
      <c r="A1029" s="14"/>
      <c r="B1029" s="79"/>
      <c r="C1029" s="80" t="s">
        <v>1754</v>
      </c>
      <c r="D1029" s="1538" t="s">
        <v>1755</v>
      </c>
      <c r="E1029" s="1417"/>
      <c r="F1029" s="1417"/>
      <c r="G1029" s="1417"/>
      <c r="H1029" s="1417"/>
      <c r="I1029" s="1417"/>
      <c r="J1029" s="1417"/>
      <c r="K1029" s="1417"/>
      <c r="L1029" s="1417"/>
      <c r="M1029" s="1417"/>
      <c r="N1029" s="1417"/>
      <c r="O1029" s="1417"/>
      <c r="P1029" s="1417"/>
      <c r="Q1029" s="1417"/>
      <c r="R1029" s="1417"/>
      <c r="S1029" s="1417"/>
      <c r="T1029" s="1417"/>
      <c r="U1029" s="1417"/>
      <c r="V1029" s="1417"/>
      <c r="W1029" s="1417"/>
      <c r="X1029" s="1417"/>
      <c r="Y1029" s="1417"/>
      <c r="Z1029" s="1417"/>
      <c r="AA1029" s="1417"/>
      <c r="AB1029" s="1417"/>
      <c r="AC1029" s="1417"/>
      <c r="AD1029" s="1417"/>
      <c r="AE1029" s="1423"/>
      <c r="AF1029" s="79"/>
      <c r="AG1029" s="1390" t="s">
        <v>811</v>
      </c>
      <c r="AH1029" s="1375"/>
      <c r="AI1029" s="87"/>
      <c r="AJ1029" s="1443">
        <f>ROUND(IF(AND(AG1029="Yes",J1033&lt;&gt;"N/A",AF1032&lt;&gt;""),MIN(AF1032,(0.15*AJ1001)),0),0)</f>
        <v>0</v>
      </c>
      <c r="AK1029" s="1417"/>
      <c r="AL1029" s="1417"/>
      <c r="AM1029" s="1417"/>
      <c r="AN1029" s="1417"/>
      <c r="AO1029" s="1417"/>
      <c r="AP1029" s="1417"/>
      <c r="AQ1029" s="1423"/>
      <c r="AR1029" s="68"/>
      <c r="AS1029" s="68"/>
      <c r="AT1029" s="68"/>
      <c r="AU1029" s="68"/>
      <c r="AV1029" s="68"/>
      <c r="AW1029" s="68"/>
      <c r="AX1029" s="3">
        <v>8</v>
      </c>
      <c r="AY1029" s="200">
        <f t="shared" si="53"/>
        <v>0</v>
      </c>
      <c r="AZ1029" s="1184">
        <v>0.01</v>
      </c>
    </row>
    <row r="1030" spans="1:52" ht="12.9" customHeight="1">
      <c r="A1030" s="14"/>
      <c r="B1030" s="81"/>
      <c r="C1030" s="84"/>
      <c r="D1030" s="1403"/>
      <c r="E1030" s="1298"/>
      <c r="F1030" s="1298"/>
      <c r="G1030" s="1298"/>
      <c r="H1030" s="1298"/>
      <c r="I1030" s="1298"/>
      <c r="J1030" s="1298"/>
      <c r="K1030" s="1298"/>
      <c r="L1030" s="1298"/>
      <c r="M1030" s="1298"/>
      <c r="N1030" s="1298"/>
      <c r="O1030" s="1298"/>
      <c r="P1030" s="1298"/>
      <c r="Q1030" s="1298"/>
      <c r="R1030" s="1298"/>
      <c r="S1030" s="1298"/>
      <c r="T1030" s="1298"/>
      <c r="U1030" s="1298"/>
      <c r="V1030" s="1298"/>
      <c r="W1030" s="1298"/>
      <c r="X1030" s="1298"/>
      <c r="Y1030" s="1298"/>
      <c r="Z1030" s="1298"/>
      <c r="AA1030" s="1298"/>
      <c r="AB1030" s="1298"/>
      <c r="AC1030" s="1298"/>
      <c r="AD1030" s="1298"/>
      <c r="AE1030" s="1383"/>
      <c r="AF1030" s="1549" t="str">
        <f>IF(AG1029="yes","Please Select Type and Enter Amount:","")</f>
        <v/>
      </c>
      <c r="AG1030" s="1298"/>
      <c r="AH1030" s="1298"/>
      <c r="AI1030" s="1383"/>
      <c r="AJ1030" s="1403"/>
      <c r="AK1030" s="1298"/>
      <c r="AL1030" s="1298"/>
      <c r="AM1030" s="1298"/>
      <c r="AN1030" s="1298"/>
      <c r="AO1030" s="1298"/>
      <c r="AP1030" s="1298"/>
      <c r="AQ1030" s="1383"/>
      <c r="AR1030" s="68"/>
      <c r="AS1030" s="68"/>
      <c r="AT1030" s="68"/>
      <c r="AU1030" s="68"/>
      <c r="AV1030" s="68"/>
      <c r="AW1030" s="68"/>
      <c r="AX1030" s="3">
        <v>9</v>
      </c>
      <c r="AY1030" s="200">
        <f t="shared" si="53"/>
        <v>0</v>
      </c>
      <c r="AZ1030" s="1184">
        <v>0.01</v>
      </c>
    </row>
    <row r="1031" spans="1:52" ht="12.9" customHeight="1">
      <c r="A1031" s="14"/>
      <c r="B1031" s="81"/>
      <c r="C1031" s="84"/>
      <c r="D1031" s="1439" t="s">
        <v>1756</v>
      </c>
      <c r="E1031" s="1298"/>
      <c r="F1031" s="1298"/>
      <c r="G1031" s="1298"/>
      <c r="H1031" s="1298"/>
      <c r="I1031" s="1298"/>
      <c r="J1031" s="1298"/>
      <c r="K1031" s="1298"/>
      <c r="L1031" s="1298"/>
      <c r="M1031" s="1298"/>
      <c r="N1031" s="1298"/>
      <c r="O1031" s="1298"/>
      <c r="P1031" s="1298"/>
      <c r="Q1031" s="1298"/>
      <c r="R1031" s="1298"/>
      <c r="S1031" s="1298"/>
      <c r="T1031" s="1298"/>
      <c r="U1031" s="1298"/>
      <c r="V1031" s="1298"/>
      <c r="W1031" s="1298"/>
      <c r="X1031" s="1298"/>
      <c r="Y1031" s="1298"/>
      <c r="Z1031" s="1298"/>
      <c r="AA1031" s="1298"/>
      <c r="AB1031" s="1298"/>
      <c r="AC1031" s="1298"/>
      <c r="AD1031" s="1298"/>
      <c r="AE1031" s="1383"/>
      <c r="AF1031" s="1403"/>
      <c r="AG1031" s="1298"/>
      <c r="AH1031" s="1298"/>
      <c r="AI1031" s="1383"/>
      <c r="AJ1031" s="1403"/>
      <c r="AK1031" s="1298"/>
      <c r="AL1031" s="1298"/>
      <c r="AM1031" s="1298"/>
      <c r="AN1031" s="1298"/>
      <c r="AO1031" s="1298"/>
      <c r="AP1031" s="1298"/>
      <c r="AQ1031" s="1383"/>
      <c r="AR1031" s="68"/>
      <c r="AS1031" s="68"/>
      <c r="AT1031" s="68"/>
      <c r="AU1031" s="68"/>
      <c r="AV1031" s="68"/>
      <c r="AW1031" s="68"/>
      <c r="AX1031" s="3">
        <v>10</v>
      </c>
      <c r="AY1031" s="200">
        <f t="shared" si="53"/>
        <v>0</v>
      </c>
      <c r="AZ1031" s="1184">
        <v>0.02</v>
      </c>
    </row>
    <row r="1032" spans="1:52" ht="12.9" customHeight="1">
      <c r="A1032" s="14"/>
      <c r="B1032" s="81"/>
      <c r="C1032" s="84"/>
      <c r="D1032" s="1403"/>
      <c r="E1032" s="1298"/>
      <c r="F1032" s="1298"/>
      <c r="G1032" s="1298"/>
      <c r="H1032" s="1298"/>
      <c r="I1032" s="1298"/>
      <c r="J1032" s="1298"/>
      <c r="K1032" s="1298"/>
      <c r="L1032" s="1298"/>
      <c r="M1032" s="1298"/>
      <c r="N1032" s="1298"/>
      <c r="O1032" s="1298"/>
      <c r="P1032" s="1298"/>
      <c r="Q1032" s="1298"/>
      <c r="R1032" s="1298"/>
      <c r="S1032" s="1298"/>
      <c r="T1032" s="1298"/>
      <c r="U1032" s="1298"/>
      <c r="V1032" s="1298"/>
      <c r="W1032" s="1298"/>
      <c r="X1032" s="1298"/>
      <c r="Y1032" s="1298"/>
      <c r="Z1032" s="1298"/>
      <c r="AA1032" s="1298"/>
      <c r="AB1032" s="1298"/>
      <c r="AC1032" s="1298"/>
      <c r="AD1032" s="1298"/>
      <c r="AE1032" s="1383"/>
      <c r="AF1032" s="1469"/>
      <c r="AG1032" s="1470"/>
      <c r="AH1032" s="1470"/>
      <c r="AI1032" s="1471"/>
      <c r="AJ1032" s="1403"/>
      <c r="AK1032" s="1298"/>
      <c r="AL1032" s="1298"/>
      <c r="AM1032" s="1298"/>
      <c r="AN1032" s="1298"/>
      <c r="AO1032" s="1298"/>
      <c r="AP1032" s="1298"/>
      <c r="AQ1032" s="1383"/>
      <c r="AR1032" s="68"/>
      <c r="AS1032" s="68"/>
      <c r="AT1032" s="68"/>
      <c r="AU1032" s="68"/>
      <c r="AV1032" s="68"/>
      <c r="AW1032" s="68"/>
      <c r="AX1032" s="3">
        <v>11</v>
      </c>
      <c r="AY1032" s="200">
        <f t="shared" si="53"/>
        <v>0</v>
      </c>
      <c r="AZ1032" s="1184">
        <v>0.02</v>
      </c>
    </row>
    <row r="1033" spans="1:52" ht="12.9" customHeight="1">
      <c r="A1033" s="14"/>
      <c r="B1033" s="81"/>
      <c r="C1033" s="84"/>
      <c r="D1033" s="526" t="s">
        <v>1757</v>
      </c>
      <c r="E1033" s="90"/>
      <c r="F1033" s="90"/>
      <c r="G1033" s="104"/>
      <c r="H1033" s="104"/>
      <c r="I1033" s="49"/>
      <c r="J1033" s="1617" t="s">
        <v>935</v>
      </c>
      <c r="K1033" s="1374"/>
      <c r="L1033" s="1374"/>
      <c r="M1033" s="1374"/>
      <c r="N1033" s="1374"/>
      <c r="O1033" s="1374"/>
      <c r="P1033" s="1374"/>
      <c r="Q1033" s="1374"/>
      <c r="R1033" s="1374"/>
      <c r="S1033" s="1374"/>
      <c r="T1033" s="1374"/>
      <c r="U1033" s="1374"/>
      <c r="V1033" s="1374"/>
      <c r="W1033" s="1374"/>
      <c r="X1033" s="1374"/>
      <c r="Y1033" s="1374"/>
      <c r="Z1033" s="1374"/>
      <c r="AA1033" s="1374"/>
      <c r="AB1033" s="1374"/>
      <c r="AC1033" s="1374"/>
      <c r="AD1033" s="1374"/>
      <c r="AE1033" s="1375"/>
      <c r="AF1033" s="1472"/>
      <c r="AG1033" s="1294"/>
      <c r="AH1033" s="1294"/>
      <c r="AI1033" s="1388"/>
      <c r="AJ1033" s="1404"/>
      <c r="AK1033" s="1405"/>
      <c r="AL1033" s="1405"/>
      <c r="AM1033" s="1405"/>
      <c r="AN1033" s="1405"/>
      <c r="AO1033" s="1405"/>
      <c r="AP1033" s="1405"/>
      <c r="AQ1033" s="1296"/>
      <c r="AR1033" s="68"/>
      <c r="AS1033" s="68"/>
      <c r="AT1033" s="68"/>
      <c r="AU1033" s="68"/>
      <c r="AV1033" s="68"/>
      <c r="AW1033" s="68"/>
      <c r="AX1033" s="1027" t="s">
        <v>1758</v>
      </c>
      <c r="AY1033" s="201">
        <f>IF(SUM(AY1022:AY1032)&lt;=0.2,SUM(AY1022:AY1032),0.2)</f>
        <v>0</v>
      </c>
    </row>
    <row r="1034" spans="1:52" ht="12.9" customHeight="1">
      <c r="A1034" s="14"/>
      <c r="B1034" s="79"/>
      <c r="C1034" s="80" t="s">
        <v>1759</v>
      </c>
      <c r="D1034" s="1382" t="s">
        <v>1760</v>
      </c>
      <c r="E1034" s="1298"/>
      <c r="F1034" s="1298"/>
      <c r="G1034" s="1298"/>
      <c r="H1034" s="1298"/>
      <c r="I1034" s="1298"/>
      <c r="J1034" s="1298"/>
      <c r="K1034" s="1298"/>
      <c r="L1034" s="1298"/>
      <c r="M1034" s="1298"/>
      <c r="N1034" s="1298"/>
      <c r="O1034" s="1298"/>
      <c r="P1034" s="1298"/>
      <c r="Q1034" s="1298"/>
      <c r="R1034" s="1298"/>
      <c r="S1034" s="1298"/>
      <c r="T1034" s="1298"/>
      <c r="U1034" s="1298"/>
      <c r="V1034" s="1298"/>
      <c r="W1034" s="1298"/>
      <c r="X1034" s="1298"/>
      <c r="Y1034" s="1298"/>
      <c r="Z1034" s="1298"/>
      <c r="AA1034" s="1298"/>
      <c r="AB1034" s="1298"/>
      <c r="AC1034" s="1298"/>
      <c r="AD1034" s="1298"/>
      <c r="AE1034" s="1383"/>
      <c r="AF1034" s="79"/>
      <c r="AG1034" s="1390" t="s">
        <v>811</v>
      </c>
      <c r="AH1034" s="1375"/>
      <c r="AI1034" s="87"/>
      <c r="AJ1034" s="1443">
        <f>ROUND(IF(AG1034="Yes",AF1036,0),0)</f>
        <v>0</v>
      </c>
      <c r="AK1034" s="1417"/>
      <c r="AL1034" s="1417"/>
      <c r="AM1034" s="1417"/>
      <c r="AN1034" s="1417"/>
      <c r="AO1034" s="1417"/>
      <c r="AP1034" s="1417"/>
      <c r="AQ1034" s="1423"/>
      <c r="AR1034" s="68"/>
      <c r="AS1034" s="68"/>
      <c r="AT1034" s="68"/>
      <c r="AU1034" s="68"/>
      <c r="AV1034" s="68"/>
      <c r="AW1034" s="68"/>
      <c r="AX1034" s="68"/>
      <c r="AY1034" s="68"/>
    </row>
    <row r="1035" spans="1:52" ht="12.9" customHeight="1">
      <c r="A1035" s="14"/>
      <c r="B1035" s="73"/>
      <c r="C1035" s="74"/>
      <c r="D1035" s="1458" t="s">
        <v>1761</v>
      </c>
      <c r="E1035" s="1298"/>
      <c r="F1035" s="1298"/>
      <c r="G1035" s="1298"/>
      <c r="H1035" s="1298"/>
      <c r="I1035" s="1298"/>
      <c r="J1035" s="1298"/>
      <c r="K1035" s="1298"/>
      <c r="L1035" s="1298"/>
      <c r="M1035" s="1298"/>
      <c r="N1035" s="1298"/>
      <c r="O1035" s="1298"/>
      <c r="P1035" s="1298"/>
      <c r="Q1035" s="1298"/>
      <c r="R1035" s="1298"/>
      <c r="S1035" s="1298"/>
      <c r="T1035" s="1298"/>
      <c r="U1035" s="1298"/>
      <c r="V1035" s="1298"/>
      <c r="W1035" s="1298"/>
      <c r="X1035" s="1298"/>
      <c r="Y1035" s="1298"/>
      <c r="Z1035" s="1298"/>
      <c r="AA1035" s="1298"/>
      <c r="AB1035" s="1298"/>
      <c r="AC1035" s="1298"/>
      <c r="AD1035" s="1298"/>
      <c r="AE1035" s="1383"/>
      <c r="AF1035" s="1514" t="str">
        <f>IF(AG1034="yes","Enter Amount:","")</f>
        <v/>
      </c>
      <c r="AG1035" s="1298"/>
      <c r="AH1035" s="1298"/>
      <c r="AI1035" s="1383"/>
      <c r="AJ1035" s="1403"/>
      <c r="AK1035" s="1298"/>
      <c r="AL1035" s="1298"/>
      <c r="AM1035" s="1298"/>
      <c r="AN1035" s="1298"/>
      <c r="AO1035" s="1298"/>
      <c r="AP1035" s="1298"/>
      <c r="AQ1035" s="1383"/>
      <c r="AR1035" s="68"/>
      <c r="AS1035" s="68"/>
      <c r="AT1035" s="68"/>
      <c r="AU1035" s="68"/>
      <c r="AV1035" s="68"/>
      <c r="AW1035" s="68"/>
      <c r="AX1035" s="68"/>
      <c r="AY1035" s="68"/>
    </row>
    <row r="1036" spans="1:52" ht="12.9" customHeight="1">
      <c r="A1036" s="14"/>
      <c r="B1036" s="73"/>
      <c r="C1036" s="74"/>
      <c r="D1036" s="1403"/>
      <c r="E1036" s="1298"/>
      <c r="F1036" s="1298"/>
      <c r="G1036" s="1298"/>
      <c r="H1036" s="1298"/>
      <c r="I1036" s="1298"/>
      <c r="J1036" s="1298"/>
      <c r="K1036" s="1298"/>
      <c r="L1036" s="1298"/>
      <c r="M1036" s="1298"/>
      <c r="N1036" s="1298"/>
      <c r="O1036" s="1298"/>
      <c r="P1036" s="1298"/>
      <c r="Q1036" s="1298"/>
      <c r="R1036" s="1298"/>
      <c r="S1036" s="1298"/>
      <c r="T1036" s="1298"/>
      <c r="U1036" s="1298"/>
      <c r="V1036" s="1298"/>
      <c r="W1036" s="1298"/>
      <c r="X1036" s="1298"/>
      <c r="Y1036" s="1298"/>
      <c r="Z1036" s="1298"/>
      <c r="AA1036" s="1298"/>
      <c r="AB1036" s="1298"/>
      <c r="AC1036" s="1298"/>
      <c r="AD1036" s="1298"/>
      <c r="AE1036" s="1383"/>
      <c r="AF1036" s="1469"/>
      <c r="AG1036" s="1470"/>
      <c r="AH1036" s="1470"/>
      <c r="AI1036" s="1471"/>
      <c r="AJ1036" s="1403"/>
      <c r="AK1036" s="1298"/>
      <c r="AL1036" s="1298"/>
      <c r="AM1036" s="1298"/>
      <c r="AN1036" s="1298"/>
      <c r="AO1036" s="1298"/>
      <c r="AP1036" s="1298"/>
      <c r="AQ1036" s="1383"/>
      <c r="AR1036" s="68"/>
      <c r="AS1036" s="68"/>
      <c r="AT1036" s="68"/>
      <c r="AU1036" s="68"/>
      <c r="AV1036" s="68"/>
      <c r="AW1036" s="68"/>
      <c r="AX1036" s="68"/>
      <c r="AY1036" s="14" t="str">
        <f>"Select items beginning on row #"&amp;TEXT(ROW(A1070),"#")&amp;" to claim this boost"</f>
        <v>Select items beginning on row #1070 to claim this boost</v>
      </c>
    </row>
    <row r="1037" spans="1:52" ht="12.9" customHeight="1">
      <c r="A1037" s="14"/>
      <c r="B1037" s="85"/>
      <c r="C1037" s="84"/>
      <c r="D1037" s="1404"/>
      <c r="E1037" s="1405"/>
      <c r="F1037" s="1405"/>
      <c r="G1037" s="1405"/>
      <c r="H1037" s="1405"/>
      <c r="I1037" s="1405"/>
      <c r="J1037" s="1405"/>
      <c r="K1037" s="1405"/>
      <c r="L1037" s="1405"/>
      <c r="M1037" s="1405"/>
      <c r="N1037" s="1405"/>
      <c r="O1037" s="1405"/>
      <c r="P1037" s="1405"/>
      <c r="Q1037" s="1405"/>
      <c r="R1037" s="1405"/>
      <c r="S1037" s="1405"/>
      <c r="T1037" s="1405"/>
      <c r="U1037" s="1405"/>
      <c r="V1037" s="1405"/>
      <c r="W1037" s="1405"/>
      <c r="X1037" s="1405"/>
      <c r="Y1037" s="1405"/>
      <c r="Z1037" s="1405"/>
      <c r="AA1037" s="1405"/>
      <c r="AB1037" s="1405"/>
      <c r="AC1037" s="1405"/>
      <c r="AD1037" s="1405"/>
      <c r="AE1037" s="1296"/>
      <c r="AF1037" s="1472"/>
      <c r="AG1037" s="1294"/>
      <c r="AH1037" s="1294"/>
      <c r="AI1037" s="1388"/>
      <c r="AJ1037" s="1404"/>
      <c r="AK1037" s="1405"/>
      <c r="AL1037" s="1405"/>
      <c r="AM1037" s="1405"/>
      <c r="AN1037" s="1405"/>
      <c r="AO1037" s="1405"/>
      <c r="AP1037" s="1405"/>
      <c r="AQ1037" s="1296"/>
      <c r="AR1037" s="68"/>
      <c r="AS1037" s="68"/>
      <c r="AT1037" s="68"/>
      <c r="AU1037" s="68"/>
      <c r="AV1037" s="68"/>
      <c r="AW1037" s="68"/>
      <c r="AX1037" s="68"/>
      <c r="AY1037" s="68"/>
    </row>
    <row r="1038" spans="1:52" ht="12.9" customHeight="1">
      <c r="A1038" s="14"/>
      <c r="B1038" s="79"/>
      <c r="C1038" s="80" t="s">
        <v>1762</v>
      </c>
      <c r="D1038" s="1493" t="s">
        <v>1763</v>
      </c>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23"/>
      <c r="AF1038" s="79"/>
      <c r="AG1038" s="1390" t="s">
        <v>811</v>
      </c>
      <c r="AH1038" s="1375"/>
      <c r="AI1038" s="87"/>
      <c r="AJ1038" s="1443">
        <f>ROUND(IF(AG1038="yes",(AJ1001*0.1),0),0)</f>
        <v>0</v>
      </c>
      <c r="AK1038" s="1417"/>
      <c r="AL1038" s="1417"/>
      <c r="AM1038" s="1417"/>
      <c r="AN1038" s="1417"/>
      <c r="AO1038" s="1417"/>
      <c r="AP1038" s="1417"/>
      <c r="AQ1038" s="1423"/>
      <c r="AR1038" s="68"/>
      <c r="AS1038" s="68"/>
      <c r="AT1038" s="68"/>
      <c r="AU1038" s="68"/>
      <c r="AV1038" s="68"/>
      <c r="AW1038" s="68"/>
      <c r="AX1038" s="68"/>
      <c r="AY1038" s="68"/>
    </row>
    <row r="1039" spans="1:52" ht="12.9" customHeight="1">
      <c r="A1039" s="14"/>
      <c r="B1039" s="73"/>
      <c r="C1039" s="74"/>
      <c r="D1039" s="1458" t="s">
        <v>1764</v>
      </c>
      <c r="E1039" s="1298"/>
      <c r="F1039" s="1298"/>
      <c r="G1039" s="1298"/>
      <c r="H1039" s="1298"/>
      <c r="I1039" s="1298"/>
      <c r="J1039" s="1298"/>
      <c r="K1039" s="1298"/>
      <c r="L1039" s="1298"/>
      <c r="M1039" s="1298"/>
      <c r="N1039" s="1298"/>
      <c r="O1039" s="1298"/>
      <c r="P1039" s="1298"/>
      <c r="Q1039" s="1298"/>
      <c r="R1039" s="1298"/>
      <c r="S1039" s="1298"/>
      <c r="T1039" s="1298"/>
      <c r="U1039" s="1298"/>
      <c r="V1039" s="1298"/>
      <c r="W1039" s="1298"/>
      <c r="X1039" s="1298"/>
      <c r="Y1039" s="1298"/>
      <c r="Z1039" s="1298"/>
      <c r="AA1039" s="1298"/>
      <c r="AB1039" s="1298"/>
      <c r="AC1039" s="1298"/>
      <c r="AD1039" s="1298"/>
      <c r="AE1039" s="1383"/>
      <c r="AF1039" s="73"/>
      <c r="AG1039" s="14"/>
      <c r="AH1039" s="14"/>
      <c r="AI1039" s="83"/>
      <c r="AJ1039" s="1403"/>
      <c r="AK1039" s="1298"/>
      <c r="AL1039" s="1298"/>
      <c r="AM1039" s="1298"/>
      <c r="AN1039" s="1298"/>
      <c r="AO1039" s="1298"/>
      <c r="AP1039" s="1298"/>
      <c r="AQ1039" s="1383"/>
      <c r="AR1039" s="68"/>
      <c r="AS1039" s="68"/>
      <c r="AT1039" s="68"/>
      <c r="AU1039" s="68"/>
      <c r="AV1039" s="68"/>
      <c r="AW1039" s="68"/>
      <c r="AX1039" s="68"/>
      <c r="AY1039" s="68"/>
    </row>
    <row r="1040" spans="1:52" ht="12.9" customHeight="1">
      <c r="A1040" s="14"/>
      <c r="B1040" s="77"/>
      <c r="C1040" s="74"/>
      <c r="D1040" s="1404"/>
      <c r="E1040" s="1405"/>
      <c r="F1040" s="1405"/>
      <c r="G1040" s="1405"/>
      <c r="H1040" s="1405"/>
      <c r="I1040" s="1405"/>
      <c r="J1040" s="1405"/>
      <c r="K1040" s="1405"/>
      <c r="L1040" s="1405"/>
      <c r="M1040" s="1405"/>
      <c r="N1040" s="1405"/>
      <c r="O1040" s="1405"/>
      <c r="P1040" s="1405"/>
      <c r="Q1040" s="1405"/>
      <c r="R1040" s="1405"/>
      <c r="S1040" s="1405"/>
      <c r="T1040" s="1405"/>
      <c r="U1040" s="1405"/>
      <c r="V1040" s="1405"/>
      <c r="W1040" s="1405"/>
      <c r="X1040" s="1405"/>
      <c r="Y1040" s="1405"/>
      <c r="Z1040" s="1405"/>
      <c r="AA1040" s="1405"/>
      <c r="AB1040" s="1405"/>
      <c r="AC1040" s="1405"/>
      <c r="AD1040" s="1405"/>
      <c r="AE1040" s="1296"/>
      <c r="AF1040" s="73"/>
      <c r="AG1040" s="14"/>
      <c r="AH1040" s="14"/>
      <c r="AI1040" s="83"/>
      <c r="AJ1040" s="1404"/>
      <c r="AK1040" s="1405"/>
      <c r="AL1040" s="1405"/>
      <c r="AM1040" s="1405"/>
      <c r="AN1040" s="1405"/>
      <c r="AO1040" s="1405"/>
      <c r="AP1040" s="1405"/>
      <c r="AQ1040" s="1296"/>
      <c r="AR1040" s="68"/>
      <c r="AS1040" s="68"/>
      <c r="AT1040" s="68"/>
      <c r="AU1040" s="68"/>
      <c r="AV1040" s="68"/>
      <c r="AW1040" s="68"/>
      <c r="AX1040" s="68"/>
      <c r="AY1040" s="68"/>
    </row>
    <row r="1041" spans="1:57" ht="12.9" customHeight="1">
      <c r="A1041" s="14"/>
      <c r="B1041" s="73"/>
      <c r="C1041" s="339" t="s">
        <v>134</v>
      </c>
      <c r="D1041" s="1382" t="s">
        <v>1765</v>
      </c>
      <c r="E1041" s="1298"/>
      <c r="F1041" s="1298"/>
      <c r="G1041" s="1298"/>
      <c r="H1041" s="1298"/>
      <c r="I1041" s="1298"/>
      <c r="J1041" s="1298"/>
      <c r="K1041" s="1298"/>
      <c r="L1041" s="1298"/>
      <c r="M1041" s="1298"/>
      <c r="N1041" s="1298"/>
      <c r="O1041" s="1298"/>
      <c r="P1041" s="1298"/>
      <c r="Q1041" s="1298"/>
      <c r="R1041" s="1298"/>
      <c r="S1041" s="1298"/>
      <c r="T1041" s="1298"/>
      <c r="U1041" s="1298"/>
      <c r="V1041" s="1298"/>
      <c r="W1041" s="1298"/>
      <c r="X1041" s="1298"/>
      <c r="Y1041" s="1298"/>
      <c r="Z1041" s="1298"/>
      <c r="AA1041" s="1298"/>
      <c r="AB1041" s="1298"/>
      <c r="AC1041" s="1298"/>
      <c r="AD1041" s="1298"/>
      <c r="AE1041" s="1383"/>
      <c r="AF1041" s="79"/>
      <c r="AG1041" s="1390" t="s">
        <v>811</v>
      </c>
      <c r="AH1041" s="1375"/>
      <c r="AI1041" s="87"/>
      <c r="AJ1041" s="1443">
        <f>ROUND(IF(AG1041="yes",(AJ1001*0.15),0),0)</f>
        <v>0</v>
      </c>
      <c r="AK1041" s="1417"/>
      <c r="AL1041" s="1417"/>
      <c r="AM1041" s="1417"/>
      <c r="AN1041" s="1417"/>
      <c r="AO1041" s="1417"/>
      <c r="AP1041" s="1417"/>
      <c r="AQ1041" s="1423"/>
      <c r="AR1041" s="68"/>
      <c r="AS1041" s="68"/>
      <c r="AT1041" s="68"/>
      <c r="AU1041" s="68"/>
      <c r="AV1041" s="68"/>
      <c r="AW1041" s="68"/>
      <c r="AX1041" s="68"/>
      <c r="AY1041" s="68"/>
    </row>
    <row r="1042" spans="1:57" ht="12.9" customHeight="1">
      <c r="A1042" s="14"/>
      <c r="B1042" s="73"/>
      <c r="C1042" s="74"/>
      <c r="D1042" s="1402" t="s">
        <v>1766</v>
      </c>
      <c r="E1042" s="1298"/>
      <c r="F1042" s="1298"/>
      <c r="G1042" s="1298"/>
      <c r="H1042" s="1298"/>
      <c r="I1042" s="1298"/>
      <c r="J1042" s="1298"/>
      <c r="K1042" s="1298"/>
      <c r="L1042" s="1298"/>
      <c r="M1042" s="1298"/>
      <c r="N1042" s="1298"/>
      <c r="O1042" s="1298"/>
      <c r="P1042" s="1298"/>
      <c r="Q1042" s="1298"/>
      <c r="R1042" s="1298"/>
      <c r="S1042" s="1298"/>
      <c r="T1042" s="1298"/>
      <c r="U1042" s="1298"/>
      <c r="V1042" s="1298"/>
      <c r="W1042" s="1298"/>
      <c r="X1042" s="1298"/>
      <c r="Y1042" s="1298"/>
      <c r="Z1042" s="1298"/>
      <c r="AA1042" s="1298"/>
      <c r="AB1042" s="1298"/>
      <c r="AC1042" s="1298"/>
      <c r="AD1042" s="1298"/>
      <c r="AE1042" s="1383"/>
      <c r="AF1042" s="911"/>
      <c r="AG1042" s="912"/>
      <c r="AH1042" s="912"/>
      <c r="AI1042" s="913"/>
      <c r="AJ1042" s="1403"/>
      <c r="AK1042" s="1298"/>
      <c r="AL1042" s="1298"/>
      <c r="AM1042" s="1298"/>
      <c r="AN1042" s="1298"/>
      <c r="AO1042" s="1298"/>
      <c r="AP1042" s="1298"/>
      <c r="AQ1042" s="1383"/>
      <c r="AR1042" s="68"/>
      <c r="AS1042" s="68"/>
      <c r="AT1042" s="68"/>
      <c r="AU1042" s="68"/>
      <c r="AV1042" s="68"/>
      <c r="AW1042" s="68"/>
      <c r="AX1042" s="68"/>
      <c r="AY1042" s="68"/>
    </row>
    <row r="1043" spans="1:57" ht="12.9" customHeight="1">
      <c r="A1043" s="14"/>
      <c r="B1043" s="73"/>
      <c r="C1043" s="74"/>
      <c r="D1043" s="1403"/>
      <c r="E1043" s="1298"/>
      <c r="F1043" s="1298"/>
      <c r="G1043" s="1298"/>
      <c r="H1043" s="1298"/>
      <c r="I1043" s="1298"/>
      <c r="J1043" s="1298"/>
      <c r="K1043" s="1298"/>
      <c r="L1043" s="1298"/>
      <c r="M1043" s="1298"/>
      <c r="N1043" s="1298"/>
      <c r="O1043" s="1298"/>
      <c r="P1043" s="1298"/>
      <c r="Q1043" s="1298"/>
      <c r="R1043" s="1298"/>
      <c r="S1043" s="1298"/>
      <c r="T1043" s="1298"/>
      <c r="U1043" s="1298"/>
      <c r="V1043" s="1298"/>
      <c r="W1043" s="1298"/>
      <c r="X1043" s="1298"/>
      <c r="Y1043" s="1298"/>
      <c r="Z1043" s="1298"/>
      <c r="AA1043" s="1298"/>
      <c r="AB1043" s="1298"/>
      <c r="AC1043" s="1298"/>
      <c r="AD1043" s="1298"/>
      <c r="AE1043" s="1383"/>
      <c r="AF1043" s="911"/>
      <c r="AG1043" s="912"/>
      <c r="AH1043" s="912"/>
      <c r="AI1043" s="913"/>
      <c r="AJ1043" s="1403"/>
      <c r="AK1043" s="1298"/>
      <c r="AL1043" s="1298"/>
      <c r="AM1043" s="1298"/>
      <c r="AN1043" s="1298"/>
      <c r="AO1043" s="1298"/>
      <c r="AP1043" s="1298"/>
      <c r="AQ1043" s="1383"/>
      <c r="AR1043" s="68"/>
      <c r="AS1043" s="68"/>
      <c r="AT1043" s="68"/>
      <c r="AU1043" s="68"/>
      <c r="AV1043" s="68"/>
      <c r="AW1043" s="68"/>
      <c r="AX1043" s="68"/>
      <c r="AY1043" s="68"/>
    </row>
    <row r="1044" spans="1:57" ht="12.9" customHeight="1">
      <c r="A1044" s="14"/>
      <c r="B1044" s="73"/>
      <c r="C1044" s="74"/>
      <c r="D1044" s="1404"/>
      <c r="E1044" s="1405"/>
      <c r="F1044" s="1405"/>
      <c r="G1044" s="1405"/>
      <c r="H1044" s="1405"/>
      <c r="I1044" s="1405"/>
      <c r="J1044" s="1405"/>
      <c r="K1044" s="1405"/>
      <c r="L1044" s="1405"/>
      <c r="M1044" s="1405"/>
      <c r="N1044" s="1405"/>
      <c r="O1044" s="1405"/>
      <c r="P1044" s="1405"/>
      <c r="Q1044" s="1405"/>
      <c r="R1044" s="1405"/>
      <c r="S1044" s="1405"/>
      <c r="T1044" s="1405"/>
      <c r="U1044" s="1405"/>
      <c r="V1044" s="1405"/>
      <c r="W1044" s="1405"/>
      <c r="X1044" s="1405"/>
      <c r="Y1044" s="1405"/>
      <c r="Z1044" s="1405"/>
      <c r="AA1044" s="1405"/>
      <c r="AB1044" s="1405"/>
      <c r="AC1044" s="1405"/>
      <c r="AD1044" s="1405"/>
      <c r="AE1044" s="1296"/>
      <c r="AF1044" s="914"/>
      <c r="AG1044" s="915"/>
      <c r="AH1044" s="915"/>
      <c r="AI1044" s="916"/>
      <c r="AJ1044" s="1404"/>
      <c r="AK1044" s="1405"/>
      <c r="AL1044" s="1405"/>
      <c r="AM1044" s="1405"/>
      <c r="AN1044" s="1405"/>
      <c r="AO1044" s="1405"/>
      <c r="AP1044" s="1405"/>
      <c r="AQ1044" s="1296"/>
      <c r="AR1044" s="68"/>
      <c r="AS1044" s="68"/>
      <c r="AT1044" s="68"/>
      <c r="AU1044" s="68"/>
      <c r="AV1044" s="68"/>
      <c r="AW1044" s="68"/>
      <c r="AX1044" s="68"/>
      <c r="AY1044" s="68"/>
    </row>
    <row r="1045" spans="1:57" ht="12.9" customHeight="1">
      <c r="A1045" s="14"/>
      <c r="B1045" s="73"/>
      <c r="C1045" s="339" t="s">
        <v>134</v>
      </c>
      <c r="D1045" s="1493" t="s">
        <v>1767</v>
      </c>
      <c r="E1045" s="1417"/>
      <c r="F1045" s="1417"/>
      <c r="G1045" s="1417"/>
      <c r="H1045" s="1417"/>
      <c r="I1045" s="1417"/>
      <c r="J1045" s="1417"/>
      <c r="K1045" s="1417"/>
      <c r="L1045" s="1417"/>
      <c r="M1045" s="1417"/>
      <c r="N1045" s="1417"/>
      <c r="O1045" s="1417"/>
      <c r="P1045" s="1417"/>
      <c r="Q1045" s="1417"/>
      <c r="R1045" s="1417"/>
      <c r="S1045" s="1417"/>
      <c r="T1045" s="1417"/>
      <c r="U1045" s="1417"/>
      <c r="V1045" s="1417"/>
      <c r="W1045" s="1417"/>
      <c r="X1045" s="1417"/>
      <c r="Y1045" s="1417"/>
      <c r="Z1045" s="1417"/>
      <c r="AA1045" s="1417"/>
      <c r="AB1045" s="1417"/>
      <c r="AC1045" s="1417"/>
      <c r="AD1045" s="1417"/>
      <c r="AE1045" s="1423"/>
      <c r="AF1045" s="73"/>
      <c r="AG1045" s="1592" t="s">
        <v>811</v>
      </c>
      <c r="AH1045" s="1388"/>
      <c r="AI1045" s="83"/>
      <c r="AJ1045" s="1634">
        <f>ROUND(IF(AND(AG1045="yes",AJ1041=0),(AJ1001*0.1),0),0)</f>
        <v>0</v>
      </c>
      <c r="AK1045" s="1417"/>
      <c r="AL1045" s="1417"/>
      <c r="AM1045" s="1417"/>
      <c r="AN1045" s="1417"/>
      <c r="AO1045" s="1417"/>
      <c r="AP1045" s="1417"/>
      <c r="AQ1045" s="1423"/>
      <c r="AR1045" s="68"/>
      <c r="AS1045" s="68"/>
      <c r="AT1045" s="68"/>
      <c r="AU1045" s="68"/>
      <c r="AV1045" s="68"/>
      <c r="AW1045" s="68"/>
      <c r="AX1045" s="68"/>
      <c r="AY1045" s="68"/>
    </row>
    <row r="1046" spans="1:57" ht="12.9" customHeight="1">
      <c r="A1046" s="14"/>
      <c r="B1046" s="73"/>
      <c r="C1046" s="74"/>
      <c r="D1046" s="1402" t="s">
        <v>1768</v>
      </c>
      <c r="E1046" s="1298"/>
      <c r="F1046" s="1298"/>
      <c r="G1046" s="1298"/>
      <c r="H1046" s="1298"/>
      <c r="I1046" s="1298"/>
      <c r="J1046" s="1298"/>
      <c r="K1046" s="1298"/>
      <c r="L1046" s="1298"/>
      <c r="M1046" s="1298"/>
      <c r="N1046" s="1298"/>
      <c r="O1046" s="1298"/>
      <c r="P1046" s="1298"/>
      <c r="Q1046" s="1298"/>
      <c r="R1046" s="1298"/>
      <c r="S1046" s="1298"/>
      <c r="T1046" s="1298"/>
      <c r="U1046" s="1298"/>
      <c r="V1046" s="1298"/>
      <c r="W1046" s="1298"/>
      <c r="X1046" s="1298"/>
      <c r="Y1046" s="1298"/>
      <c r="Z1046" s="1298"/>
      <c r="AA1046" s="1298"/>
      <c r="AB1046" s="1298"/>
      <c r="AC1046" s="1298"/>
      <c r="AD1046" s="1298"/>
      <c r="AE1046" s="1383"/>
      <c r="AF1046" s="73"/>
      <c r="AG1046" s="14"/>
      <c r="AH1046" s="14"/>
      <c r="AI1046" s="83"/>
      <c r="AJ1046" s="1403"/>
      <c r="AK1046" s="1298"/>
      <c r="AL1046" s="1298"/>
      <c r="AM1046" s="1298"/>
      <c r="AN1046" s="1298"/>
      <c r="AO1046" s="1298"/>
      <c r="AP1046" s="1298"/>
      <c r="AQ1046" s="1383"/>
      <c r="AR1046" s="68"/>
      <c r="AS1046" s="68"/>
      <c r="AT1046" s="68"/>
      <c r="AU1046" s="68"/>
      <c r="AV1046" s="68"/>
      <c r="AW1046" s="68"/>
      <c r="AX1046" s="68"/>
      <c r="AY1046" s="68"/>
    </row>
    <row r="1047" spans="1:57" ht="12.9" customHeight="1">
      <c r="A1047" s="14"/>
      <c r="B1047" s="73"/>
      <c r="C1047" s="74"/>
      <c r="D1047" s="1403"/>
      <c r="E1047" s="1298"/>
      <c r="F1047" s="1298"/>
      <c r="G1047" s="1298"/>
      <c r="H1047" s="1298"/>
      <c r="I1047" s="1298"/>
      <c r="J1047" s="1298"/>
      <c r="K1047" s="1298"/>
      <c r="L1047" s="1298"/>
      <c r="M1047" s="1298"/>
      <c r="N1047" s="1298"/>
      <c r="O1047" s="1298"/>
      <c r="P1047" s="1298"/>
      <c r="Q1047" s="1298"/>
      <c r="R1047" s="1298"/>
      <c r="S1047" s="1298"/>
      <c r="T1047" s="1298"/>
      <c r="U1047" s="1298"/>
      <c r="V1047" s="1298"/>
      <c r="W1047" s="1298"/>
      <c r="X1047" s="1298"/>
      <c r="Y1047" s="1298"/>
      <c r="Z1047" s="1298"/>
      <c r="AA1047" s="1298"/>
      <c r="AB1047" s="1298"/>
      <c r="AC1047" s="1298"/>
      <c r="AD1047" s="1298"/>
      <c r="AE1047" s="1383"/>
      <c r="AF1047" s="73"/>
      <c r="AG1047" s="14"/>
      <c r="AH1047" s="14"/>
      <c r="AI1047" s="83"/>
      <c r="AJ1047" s="1403"/>
      <c r="AK1047" s="1298"/>
      <c r="AL1047" s="1298"/>
      <c r="AM1047" s="1298"/>
      <c r="AN1047" s="1298"/>
      <c r="AO1047" s="1298"/>
      <c r="AP1047" s="1298"/>
      <c r="AQ1047" s="1383"/>
      <c r="AR1047" s="68"/>
      <c r="AS1047" s="68"/>
      <c r="AT1047" s="68"/>
      <c r="AU1047" s="68"/>
      <c r="AV1047" s="68"/>
      <c r="AW1047" s="68"/>
      <c r="AX1047" s="68"/>
      <c r="AY1047" s="68"/>
      <c r="BA1047" s="1173">
        <f>IFERROR(('Sources and Uses Budget'!$C$17+'Sources and Uses Budget'!$C$18+'Sources and Uses Budget'!$C$22)/$AG$446,0)</f>
        <v>120000</v>
      </c>
      <c r="BB1047" s="1173" t="s">
        <v>1769</v>
      </c>
      <c r="BC1047" s="1173"/>
      <c r="BD1047" s="1173"/>
      <c r="BE1047" s="1173"/>
    </row>
    <row r="1048" spans="1:57" ht="12.9" customHeight="1">
      <c r="A1048" s="14"/>
      <c r="B1048" s="73"/>
      <c r="C1048" s="74"/>
      <c r="D1048" s="1403"/>
      <c r="E1048" s="1298"/>
      <c r="F1048" s="1298"/>
      <c r="G1048" s="1298"/>
      <c r="H1048" s="1298"/>
      <c r="I1048" s="1298"/>
      <c r="J1048" s="1298"/>
      <c r="K1048" s="1298"/>
      <c r="L1048" s="1298"/>
      <c r="M1048" s="1298"/>
      <c r="N1048" s="1298"/>
      <c r="O1048" s="1298"/>
      <c r="P1048" s="1298"/>
      <c r="Q1048" s="1298"/>
      <c r="R1048" s="1298"/>
      <c r="S1048" s="1298"/>
      <c r="T1048" s="1298"/>
      <c r="U1048" s="1298"/>
      <c r="V1048" s="1298"/>
      <c r="W1048" s="1298"/>
      <c r="X1048" s="1298"/>
      <c r="Y1048" s="1298"/>
      <c r="Z1048" s="1298"/>
      <c r="AA1048" s="1298"/>
      <c r="AB1048" s="1298"/>
      <c r="AC1048" s="1298"/>
      <c r="AD1048" s="1298"/>
      <c r="AE1048" s="1383"/>
      <c r="AF1048" s="73"/>
      <c r="AG1048" s="14"/>
      <c r="AH1048" s="14"/>
      <c r="AI1048" s="83"/>
      <c r="AJ1048" s="1403"/>
      <c r="AK1048" s="1298"/>
      <c r="AL1048" s="1298"/>
      <c r="AM1048" s="1298"/>
      <c r="AN1048" s="1298"/>
      <c r="AO1048" s="1298"/>
      <c r="AP1048" s="1298"/>
      <c r="AQ1048" s="1383"/>
      <c r="AR1048" s="68"/>
      <c r="AS1048" s="68"/>
      <c r="AT1048" s="68"/>
      <c r="AU1048" s="68"/>
      <c r="AV1048" s="68"/>
      <c r="AW1048" s="68"/>
      <c r="AX1048" s="68"/>
      <c r="AY1048" s="68"/>
      <c r="BA1048">
        <f>IFERROR((($CI$761+$CM$761)/$AG$449),0)</f>
        <v>0.703125</v>
      </c>
      <c r="BB1048" s="3" t="s">
        <v>1770</v>
      </c>
    </row>
    <row r="1049" spans="1:57" ht="12.9" customHeight="1">
      <c r="A1049" s="14"/>
      <c r="B1049" s="73"/>
      <c r="C1049" s="74"/>
      <c r="D1049" s="1404"/>
      <c r="E1049" s="1405"/>
      <c r="F1049" s="1405"/>
      <c r="G1049" s="1405"/>
      <c r="H1049" s="1405"/>
      <c r="I1049" s="1405"/>
      <c r="J1049" s="1405"/>
      <c r="K1049" s="1405"/>
      <c r="L1049" s="1405"/>
      <c r="M1049" s="1405"/>
      <c r="N1049" s="1405"/>
      <c r="O1049" s="1405"/>
      <c r="P1049" s="1405"/>
      <c r="Q1049" s="1405"/>
      <c r="R1049" s="1405"/>
      <c r="S1049" s="1405"/>
      <c r="T1049" s="1405"/>
      <c r="U1049" s="1405"/>
      <c r="V1049" s="1405"/>
      <c r="W1049" s="1405"/>
      <c r="X1049" s="1405"/>
      <c r="Y1049" s="1405"/>
      <c r="Z1049" s="1405"/>
      <c r="AA1049" s="1405"/>
      <c r="AB1049" s="1405"/>
      <c r="AC1049" s="1405"/>
      <c r="AD1049" s="1405"/>
      <c r="AE1049" s="1296"/>
      <c r="AF1049" s="73"/>
      <c r="AG1049" s="14"/>
      <c r="AH1049" s="14"/>
      <c r="AI1049" s="83"/>
      <c r="AJ1049" s="1403"/>
      <c r="AK1049" s="1298"/>
      <c r="AL1049" s="1298"/>
      <c r="AM1049" s="1298"/>
      <c r="AN1049" s="1298"/>
      <c r="AO1049" s="1298"/>
      <c r="AP1049" s="1298"/>
      <c r="AQ1049" s="1383"/>
      <c r="AR1049" s="68"/>
      <c r="AS1049" s="68"/>
      <c r="AT1049" s="68"/>
      <c r="AU1049" s="68"/>
      <c r="AV1049" s="68"/>
      <c r="AW1049" s="68"/>
      <c r="AX1049" s="68"/>
      <c r="AY1049" s="68"/>
      <c r="BA1049" t="b">
        <f>'Points System'!AJ163="Yes"</f>
        <v>0</v>
      </c>
      <c r="BB1049" s="3" t="s">
        <v>1771</v>
      </c>
    </row>
    <row r="1050" spans="1:57" ht="12.9" customHeight="1">
      <c r="A1050" s="14"/>
      <c r="B1050" s="79"/>
      <c r="C1050" s="131" t="s">
        <v>1772</v>
      </c>
      <c r="D1050" s="1382" t="s">
        <v>1773</v>
      </c>
      <c r="E1050" s="1298"/>
      <c r="F1050" s="1298"/>
      <c r="G1050" s="1298"/>
      <c r="H1050" s="1298"/>
      <c r="I1050" s="1298"/>
      <c r="J1050" s="1298"/>
      <c r="K1050" s="1298"/>
      <c r="L1050" s="1298"/>
      <c r="M1050" s="1298"/>
      <c r="N1050" s="1298"/>
      <c r="O1050" s="1298"/>
      <c r="P1050" s="1298"/>
      <c r="Q1050" s="1298"/>
      <c r="R1050" s="1298"/>
      <c r="S1050" s="1298"/>
      <c r="T1050" s="1298"/>
      <c r="U1050" s="1298"/>
      <c r="V1050" s="1298"/>
      <c r="W1050" s="1298"/>
      <c r="X1050" s="1298"/>
      <c r="Y1050" s="1298"/>
      <c r="Z1050" s="1298"/>
      <c r="AA1050" s="1298"/>
      <c r="AB1050" s="1298"/>
      <c r="AC1050" s="1298"/>
      <c r="AD1050" s="1298"/>
      <c r="AE1050" s="1383"/>
      <c r="AF1050" s="79"/>
      <c r="AG1050" s="1390" t="s">
        <v>811</v>
      </c>
      <c r="AH1050" s="1375"/>
      <c r="AI1050" s="87"/>
      <c r="AJ1050" s="1443">
        <f>ROUND(IF(AG1050="yes",(AJ1001*0.1),0),0)</f>
        <v>0</v>
      </c>
      <c r="AK1050" s="1417"/>
      <c r="AL1050" s="1417"/>
      <c r="AM1050" s="1417"/>
      <c r="AN1050" s="1417"/>
      <c r="AO1050" s="1417"/>
      <c r="AP1050" s="1417"/>
      <c r="AQ1050" s="1423"/>
      <c r="AR1050" s="68"/>
      <c r="AS1050" s="68"/>
      <c r="AT1050" s="68"/>
      <c r="AU1050" s="68"/>
      <c r="AV1050" s="68"/>
      <c r="AW1050" s="68"/>
      <c r="AX1050" s="68"/>
      <c r="AY1050" s="68"/>
      <c r="BA1050">
        <f>Q212</f>
        <v>0</v>
      </c>
      <c r="BB1050" s="3" t="s">
        <v>1774</v>
      </c>
    </row>
    <row r="1051" spans="1:57" ht="12.9" customHeight="1">
      <c r="A1051" s="14"/>
      <c r="B1051" s="73"/>
      <c r="C1051" s="74"/>
      <c r="D1051" s="1458" t="s">
        <v>1775</v>
      </c>
      <c r="E1051" s="1298"/>
      <c r="F1051" s="1298"/>
      <c r="G1051" s="1298"/>
      <c r="H1051" s="1298"/>
      <c r="I1051" s="1298"/>
      <c r="J1051" s="1298"/>
      <c r="K1051" s="1298"/>
      <c r="L1051" s="1298"/>
      <c r="M1051" s="1298"/>
      <c r="N1051" s="1298"/>
      <c r="O1051" s="1298"/>
      <c r="P1051" s="1298"/>
      <c r="Q1051" s="1298"/>
      <c r="R1051" s="1298"/>
      <c r="S1051" s="1298"/>
      <c r="T1051" s="1298"/>
      <c r="U1051" s="1298"/>
      <c r="V1051" s="1298"/>
      <c r="W1051" s="1298"/>
      <c r="X1051" s="1298"/>
      <c r="Y1051" s="1298"/>
      <c r="Z1051" s="1298"/>
      <c r="AA1051" s="1298"/>
      <c r="AB1051" s="1298"/>
      <c r="AC1051" s="1298"/>
      <c r="AD1051" s="1298"/>
      <c r="AE1051" s="1383"/>
      <c r="AF1051" s="73"/>
      <c r="AG1051" s="14"/>
      <c r="AH1051" s="14"/>
      <c r="AI1051" s="83"/>
      <c r="AJ1051" s="1403"/>
      <c r="AK1051" s="1298"/>
      <c r="AL1051" s="1298"/>
      <c r="AM1051" s="1298"/>
      <c r="AN1051" s="1298"/>
      <c r="AO1051" s="1298"/>
      <c r="AP1051" s="1298"/>
      <c r="AQ1051" s="1383"/>
      <c r="AR1051" s="68"/>
      <c r="AS1051" s="68"/>
      <c r="AT1051" s="68"/>
      <c r="AU1051" s="68"/>
      <c r="AV1051" s="68"/>
      <c r="AW1051" s="68"/>
      <c r="AX1051" s="68"/>
      <c r="AY1051" s="68"/>
      <c r="BA1051" s="1174">
        <f>T212</f>
        <v>0</v>
      </c>
      <c r="BB1051" s="3" t="s">
        <v>1776</v>
      </c>
    </row>
    <row r="1052" spans="1:57" ht="12.9" customHeight="1">
      <c r="A1052" s="14"/>
      <c r="B1052" s="73"/>
      <c r="C1052" s="74"/>
      <c r="D1052" s="1403"/>
      <c r="E1052" s="1298"/>
      <c r="F1052" s="1298"/>
      <c r="G1052" s="1298"/>
      <c r="H1052" s="1298"/>
      <c r="I1052" s="1298"/>
      <c r="J1052" s="1298"/>
      <c r="K1052" s="1298"/>
      <c r="L1052" s="1298"/>
      <c r="M1052" s="1298"/>
      <c r="N1052" s="1298"/>
      <c r="O1052" s="1298"/>
      <c r="P1052" s="1298"/>
      <c r="Q1052" s="1298"/>
      <c r="R1052" s="1298"/>
      <c r="S1052" s="1298"/>
      <c r="T1052" s="1298"/>
      <c r="U1052" s="1298"/>
      <c r="V1052" s="1298"/>
      <c r="W1052" s="1298"/>
      <c r="X1052" s="1298"/>
      <c r="Y1052" s="1298"/>
      <c r="Z1052" s="1298"/>
      <c r="AA1052" s="1298"/>
      <c r="AB1052" s="1298"/>
      <c r="AC1052" s="1298"/>
      <c r="AD1052" s="1298"/>
      <c r="AE1052" s="1383"/>
      <c r="AF1052" s="73"/>
      <c r="AG1052" s="14"/>
      <c r="AH1052" s="14"/>
      <c r="AI1052" s="83"/>
      <c r="AJ1052" s="1403"/>
      <c r="AK1052" s="1298"/>
      <c r="AL1052" s="1298"/>
      <c r="AM1052" s="1298"/>
      <c r="AN1052" s="1298"/>
      <c r="AO1052" s="1298"/>
      <c r="AP1052" s="1298"/>
      <c r="AQ1052" s="1383"/>
      <c r="AR1052" s="68"/>
      <c r="AS1052" s="68"/>
      <c r="AT1052" s="68"/>
      <c r="AU1052" s="68"/>
      <c r="AV1052" s="68"/>
      <c r="AW1052" s="68"/>
      <c r="AX1052" s="68"/>
      <c r="AY1052" s="68"/>
    </row>
    <row r="1053" spans="1:57" ht="12.9" customHeight="1">
      <c r="A1053" s="14"/>
      <c r="B1053" s="73"/>
      <c r="C1053" s="74"/>
      <c r="D1053" s="1404"/>
      <c r="E1053" s="1405"/>
      <c r="F1053" s="1405"/>
      <c r="G1053" s="1405"/>
      <c r="H1053" s="1405"/>
      <c r="I1053" s="1405"/>
      <c r="J1053" s="1405"/>
      <c r="K1053" s="1405"/>
      <c r="L1053" s="1405"/>
      <c r="M1053" s="1405"/>
      <c r="N1053" s="1405"/>
      <c r="O1053" s="1405"/>
      <c r="P1053" s="1405"/>
      <c r="Q1053" s="1405"/>
      <c r="R1053" s="1405"/>
      <c r="S1053" s="1405"/>
      <c r="T1053" s="1405"/>
      <c r="U1053" s="1405"/>
      <c r="V1053" s="1405"/>
      <c r="W1053" s="1405"/>
      <c r="X1053" s="1405"/>
      <c r="Y1053" s="1405"/>
      <c r="Z1053" s="1405"/>
      <c r="AA1053" s="1405"/>
      <c r="AB1053" s="1405"/>
      <c r="AC1053" s="1405"/>
      <c r="AD1053" s="1405"/>
      <c r="AE1053" s="1296"/>
      <c r="AF1053" s="73"/>
      <c r="AG1053" s="14"/>
      <c r="AH1053" s="14"/>
      <c r="AI1053" s="83"/>
      <c r="AJ1053" s="1404"/>
      <c r="AK1053" s="1405"/>
      <c r="AL1053" s="1405"/>
      <c r="AM1053" s="1405"/>
      <c r="AN1053" s="1405"/>
      <c r="AO1053" s="1405"/>
      <c r="AP1053" s="1405"/>
      <c r="AQ1053" s="1296"/>
      <c r="AR1053" s="68"/>
      <c r="AS1053" s="68"/>
      <c r="AT1053" s="68"/>
      <c r="AU1053" s="68"/>
      <c r="AV1053" s="68"/>
      <c r="AW1053" s="68"/>
      <c r="AX1053" s="68"/>
      <c r="AY1053" s="68"/>
    </row>
    <row r="1054" spans="1:57" ht="12.9" customHeight="1">
      <c r="A1054" s="14"/>
      <c r="B1054" s="79"/>
      <c r="C1054" s="131" t="s">
        <v>1777</v>
      </c>
      <c r="D1054" s="1493" t="s">
        <v>1778</v>
      </c>
      <c r="E1054" s="1417"/>
      <c r="F1054" s="1417"/>
      <c r="G1054" s="1417"/>
      <c r="H1054" s="1417"/>
      <c r="I1054" s="1417"/>
      <c r="J1054" s="1417"/>
      <c r="K1054" s="1417"/>
      <c r="L1054" s="1417"/>
      <c r="M1054" s="1417"/>
      <c r="N1054" s="1417"/>
      <c r="O1054" s="1417"/>
      <c r="P1054" s="1417"/>
      <c r="Q1054" s="1417"/>
      <c r="R1054" s="1417"/>
      <c r="S1054" s="1417"/>
      <c r="T1054" s="1417"/>
      <c r="U1054" s="1417"/>
      <c r="V1054" s="1417"/>
      <c r="W1054" s="1417"/>
      <c r="X1054" s="1417"/>
      <c r="Y1054" s="1417"/>
      <c r="Z1054" s="1417"/>
      <c r="AA1054" s="1417"/>
      <c r="AB1054" s="1417"/>
      <c r="AC1054" s="1417"/>
      <c r="AD1054" s="1417"/>
      <c r="AE1054" s="1423"/>
      <c r="AF1054" s="79"/>
      <c r="AG1054" s="1586" t="str">
        <f>IF(X1057&gt;0,"Yes","No")</f>
        <v>Yes</v>
      </c>
      <c r="AH1054" s="1264"/>
      <c r="AI1054" s="87"/>
      <c r="AJ1054" s="1443">
        <f>IF((X1057=0),0,AY1014*AJ1001)</f>
        <v>25345950.560000002</v>
      </c>
      <c r="AK1054" s="1417"/>
      <c r="AL1054" s="1417"/>
      <c r="AM1054" s="1417"/>
      <c r="AN1054" s="1417"/>
      <c r="AO1054" s="1417"/>
      <c r="AP1054" s="1417"/>
      <c r="AQ1054" s="1423"/>
      <c r="AR1054" s="68"/>
      <c r="AS1054" s="68"/>
      <c r="AT1054" s="68"/>
      <c r="AU1054" s="68"/>
      <c r="AV1054" s="68"/>
      <c r="AW1054" s="68"/>
      <c r="AX1054" s="68"/>
      <c r="AY1054" s="68"/>
      <c r="AZ1054" s="117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1779</v>
      </c>
      <c r="BB1054" s="3"/>
      <c r="BC1054" s="3"/>
      <c r="BD1054" s="3"/>
    </row>
    <row r="1055" spans="1:57" ht="12.9" customHeight="1">
      <c r="A1055" s="14"/>
      <c r="B1055" s="73"/>
      <c r="C1055" s="442"/>
      <c r="D1055" s="1439" t="s">
        <v>1780</v>
      </c>
      <c r="E1055" s="1298"/>
      <c r="F1055" s="1298"/>
      <c r="G1055" s="1298"/>
      <c r="H1055" s="1298"/>
      <c r="I1055" s="1298"/>
      <c r="J1055" s="1298"/>
      <c r="K1055" s="1298"/>
      <c r="L1055" s="1298"/>
      <c r="M1055" s="1298"/>
      <c r="N1055" s="1298"/>
      <c r="O1055" s="1298"/>
      <c r="P1055" s="1298"/>
      <c r="Q1055" s="1298"/>
      <c r="R1055" s="1298"/>
      <c r="S1055" s="1298"/>
      <c r="T1055" s="1298"/>
      <c r="U1055" s="1298"/>
      <c r="V1055" s="1298"/>
      <c r="W1055" s="1298"/>
      <c r="X1055" s="1298"/>
      <c r="Y1055" s="1298"/>
      <c r="Z1055" s="1298"/>
      <c r="AA1055" s="1298"/>
      <c r="AB1055" s="1298"/>
      <c r="AC1055" s="1298"/>
      <c r="AD1055" s="1298"/>
      <c r="AE1055" s="1383"/>
      <c r="AF1055" s="73"/>
      <c r="AG1055" s="443"/>
      <c r="AH1055" s="443"/>
      <c r="AI1055" s="83"/>
      <c r="AJ1055" s="1403"/>
      <c r="AK1055" s="1298"/>
      <c r="AL1055" s="1298"/>
      <c r="AM1055" s="1298"/>
      <c r="AN1055" s="1298"/>
      <c r="AO1055" s="1298"/>
      <c r="AP1055" s="1298"/>
      <c r="AQ1055" s="1383"/>
      <c r="AR1055" s="68"/>
      <c r="AS1055" s="68"/>
      <c r="AT1055" s="68"/>
      <c r="AU1055" s="13"/>
      <c r="AV1055" s="68"/>
      <c r="AW1055" s="68"/>
      <c r="AX1055" s="68"/>
      <c r="AY1055" s="68"/>
      <c r="AZ1055" s="958">
        <f>'Sources and Uses Budget'!S97*BA1055</f>
        <v>1828103.25</v>
      </c>
      <c r="BA1055" s="1172">
        <f>IF(BA1049,20%,15%)</f>
        <v>0.15</v>
      </c>
      <c r="BB1055" s="3" t="s">
        <v>1781</v>
      </c>
      <c r="BC1055" s="3" t="s">
        <v>1782</v>
      </c>
      <c r="BD1055" s="3"/>
    </row>
    <row r="1056" spans="1:57" ht="12.9" customHeight="1">
      <c r="A1056" s="14"/>
      <c r="B1056" s="73"/>
      <c r="C1056" s="442"/>
      <c r="D1056" s="1403"/>
      <c r="E1056" s="1298"/>
      <c r="F1056" s="1298"/>
      <c r="G1056" s="1298"/>
      <c r="H1056" s="1298"/>
      <c r="I1056" s="1298"/>
      <c r="J1056" s="1298"/>
      <c r="K1056" s="1298"/>
      <c r="L1056" s="1298"/>
      <c r="M1056" s="1298"/>
      <c r="N1056" s="1298"/>
      <c r="O1056" s="1298"/>
      <c r="P1056" s="1298"/>
      <c r="Q1056" s="1298"/>
      <c r="R1056" s="1298"/>
      <c r="S1056" s="1298"/>
      <c r="T1056" s="1298"/>
      <c r="U1056" s="1298"/>
      <c r="V1056" s="1298"/>
      <c r="W1056" s="1298"/>
      <c r="X1056" s="1298"/>
      <c r="Y1056" s="1298"/>
      <c r="Z1056" s="1298"/>
      <c r="AA1056" s="1298"/>
      <c r="AB1056" s="1298"/>
      <c r="AC1056" s="1298"/>
      <c r="AD1056" s="1298"/>
      <c r="AE1056" s="1383"/>
      <c r="AF1056" s="73"/>
      <c r="AG1056" s="443"/>
      <c r="AH1056" s="443"/>
      <c r="AI1056" s="83"/>
      <c r="AJ1056" s="1403"/>
      <c r="AK1056" s="1298"/>
      <c r="AL1056" s="1298"/>
      <c r="AM1056" s="1298"/>
      <c r="AN1056" s="1298"/>
      <c r="AO1056" s="1298"/>
      <c r="AP1056" s="1298"/>
      <c r="AQ1056" s="1383"/>
      <c r="AR1056" s="68"/>
      <c r="AS1056" s="68"/>
      <c r="AT1056" s="68"/>
      <c r="AU1056" s="13"/>
      <c r="AV1056" s="68"/>
      <c r="AW1056" s="68"/>
      <c r="AX1056" s="68"/>
      <c r="AY1056" s="68"/>
      <c r="AZ1056" s="958">
        <f>IF(M365="N/A",0,'Sources and Uses Budget'!T97*BA1056)</f>
        <v>0</v>
      </c>
      <c r="BA1056" s="1172">
        <v>0.15</v>
      </c>
      <c r="BB1056" s="3" t="s">
        <v>1781</v>
      </c>
      <c r="BC1056" s="3" t="s">
        <v>1783</v>
      </c>
      <c r="BD1056" s="3"/>
    </row>
    <row r="1057" spans="1:56" ht="12.9" customHeight="1">
      <c r="A1057" s="14"/>
      <c r="B1057" s="77"/>
      <c r="C1057" s="78"/>
      <c r="D1057" s="132" t="s">
        <v>1784</v>
      </c>
      <c r="E1057" s="133"/>
      <c r="F1057" s="133"/>
      <c r="G1057" s="133"/>
      <c r="H1057" s="133"/>
      <c r="I1057" s="1560">
        <f>AY1012</f>
        <v>64</v>
      </c>
      <c r="J1057" s="1264"/>
      <c r="K1057" s="7"/>
      <c r="L1057" s="133"/>
      <c r="M1057" s="133"/>
      <c r="N1057" s="133"/>
      <c r="O1057" s="133"/>
      <c r="P1057" s="133"/>
      <c r="Q1057" s="133"/>
      <c r="R1057" s="133"/>
      <c r="S1057" s="133"/>
      <c r="T1057" s="133"/>
      <c r="U1057" s="133"/>
      <c r="V1057" s="134" t="s">
        <v>1785</v>
      </c>
      <c r="W1057" s="48"/>
      <c r="X1057" s="1396">
        <f>CI761</f>
        <v>36</v>
      </c>
      <c r="Y1057" s="1264"/>
      <c r="Z1057" s="48"/>
      <c r="AA1057" s="48"/>
      <c r="AB1057" s="48"/>
      <c r="AC1057" s="48"/>
      <c r="AD1057" s="48"/>
      <c r="AE1057" s="49"/>
      <c r="AF1057" s="920"/>
      <c r="AG1057" s="921"/>
      <c r="AH1057" s="921"/>
      <c r="AI1057" s="922"/>
      <c r="AJ1057" s="1404"/>
      <c r="AK1057" s="1405"/>
      <c r="AL1057" s="1405"/>
      <c r="AM1057" s="1405"/>
      <c r="AN1057" s="1405"/>
      <c r="AO1057" s="1405"/>
      <c r="AP1057" s="1405"/>
      <c r="AQ1057" s="1296"/>
      <c r="AR1057" s="68"/>
      <c r="AS1057" s="68"/>
      <c r="AT1057" s="68"/>
      <c r="AU1057" s="14"/>
      <c r="AV1057" s="68"/>
      <c r="AW1057" s="68"/>
      <c r="AX1057" s="68"/>
      <c r="AY1057" s="68"/>
      <c r="AZ1057" s="958">
        <f>IF(M367="N/A",0,'Sources and Uses Budget'!T97*BA1057)</f>
        <v>606067.80000000005</v>
      </c>
      <c r="BA1057" s="1172">
        <f t="array" ref="BA1057">_xlfn.IFS(X180="Yes",5%,$BA$1047&gt;50000,15%,BA1048&gt;=30%,15%,TRUE,5%)</f>
        <v>0.05</v>
      </c>
      <c r="BB1057" s="3" t="s">
        <v>1781</v>
      </c>
      <c r="BC1057" s="3" t="s">
        <v>1786</v>
      </c>
      <c r="BD1057" s="3"/>
    </row>
    <row r="1058" spans="1:56" ht="12.9" customHeight="1">
      <c r="A1058" s="14"/>
      <c r="B1058" s="79"/>
      <c r="C1058" s="131" t="s">
        <v>1787</v>
      </c>
      <c r="D1058" s="1382" t="s">
        <v>1788</v>
      </c>
      <c r="E1058" s="1298"/>
      <c r="F1058" s="1298"/>
      <c r="G1058" s="1298"/>
      <c r="H1058" s="1298"/>
      <c r="I1058" s="1298"/>
      <c r="J1058" s="1298"/>
      <c r="K1058" s="1298"/>
      <c r="L1058" s="1298"/>
      <c r="M1058" s="1298"/>
      <c r="N1058" s="1298"/>
      <c r="O1058" s="1298"/>
      <c r="P1058" s="1298"/>
      <c r="Q1058" s="1298"/>
      <c r="R1058" s="1298"/>
      <c r="S1058" s="1298"/>
      <c r="T1058" s="1298"/>
      <c r="U1058" s="1298"/>
      <c r="V1058" s="1298"/>
      <c r="W1058" s="1298"/>
      <c r="X1058" s="1298"/>
      <c r="Y1058" s="1298"/>
      <c r="Z1058" s="1298"/>
      <c r="AA1058" s="1298"/>
      <c r="AB1058" s="1298"/>
      <c r="AC1058" s="1298"/>
      <c r="AD1058" s="1298"/>
      <c r="AE1058" s="1383"/>
      <c r="AF1058" s="73"/>
      <c r="AG1058" s="1586" t="str">
        <f>IF(X1061&gt;0,"Yes","No")</f>
        <v>Yes</v>
      </c>
      <c r="AH1058" s="1264"/>
      <c r="AI1058" s="83"/>
      <c r="AJ1058" s="1443">
        <f>IF((X1061=0),0,(2*AY1015)*AJ1001)</f>
        <v>12672975.280000001</v>
      </c>
      <c r="AK1058" s="1417"/>
      <c r="AL1058" s="1417"/>
      <c r="AM1058" s="1417"/>
      <c r="AN1058" s="1417"/>
      <c r="AO1058" s="1417"/>
      <c r="AP1058" s="1417"/>
      <c r="AQ1058" s="1423"/>
      <c r="AR1058" s="68"/>
      <c r="AS1058" s="68"/>
      <c r="AT1058" s="68"/>
      <c r="AU1058" s="14"/>
      <c r="AV1058" s="68"/>
      <c r="AW1058" s="68"/>
      <c r="AX1058" s="68"/>
      <c r="AY1058" s="68"/>
      <c r="AZ1058" s="958">
        <f>AZ1054*BA1058</f>
        <v>0</v>
      </c>
      <c r="BA1058" s="1172">
        <v>0.15</v>
      </c>
      <c r="BB1058" s="3" t="s">
        <v>1781</v>
      </c>
      <c r="BC1058" s="3" t="s">
        <v>1789</v>
      </c>
      <c r="BD1058" s="3"/>
    </row>
    <row r="1059" spans="1:56" ht="12.9" customHeight="1">
      <c r="A1059" s="14"/>
      <c r="B1059" s="73"/>
      <c r="C1059" s="442"/>
      <c r="D1059" s="1439" t="s">
        <v>1790</v>
      </c>
      <c r="E1059" s="1298"/>
      <c r="F1059" s="1298"/>
      <c r="G1059" s="1298"/>
      <c r="H1059" s="1298"/>
      <c r="I1059" s="1298"/>
      <c r="J1059" s="1298"/>
      <c r="K1059" s="1298"/>
      <c r="L1059" s="1298"/>
      <c r="M1059" s="1298"/>
      <c r="N1059" s="1298"/>
      <c r="O1059" s="1298"/>
      <c r="P1059" s="1298"/>
      <c r="Q1059" s="1298"/>
      <c r="R1059" s="1298"/>
      <c r="S1059" s="1298"/>
      <c r="T1059" s="1298"/>
      <c r="U1059" s="1298"/>
      <c r="V1059" s="1298"/>
      <c r="W1059" s="1298"/>
      <c r="X1059" s="1298"/>
      <c r="Y1059" s="1298"/>
      <c r="Z1059" s="1298"/>
      <c r="AA1059" s="1298"/>
      <c r="AB1059" s="1298"/>
      <c r="AC1059" s="1298"/>
      <c r="AD1059" s="1298"/>
      <c r="AE1059" s="1383"/>
      <c r="AF1059" s="73"/>
      <c r="AG1059" s="443"/>
      <c r="AH1059" s="443"/>
      <c r="AI1059" s="83"/>
      <c r="AJ1059" s="1403"/>
      <c r="AK1059" s="1298"/>
      <c r="AL1059" s="1298"/>
      <c r="AM1059" s="1298"/>
      <c r="AN1059" s="1298"/>
      <c r="AO1059" s="1298"/>
      <c r="AP1059" s="1298"/>
      <c r="AQ1059" s="1383"/>
      <c r="AR1059" s="68"/>
      <c r="AS1059" s="68"/>
      <c r="AT1059" s="68"/>
      <c r="AU1059" s="68"/>
      <c r="AV1059" s="68"/>
      <c r="AW1059" s="68"/>
      <c r="AX1059" s="68"/>
      <c r="AY1059" s="68"/>
      <c r="AZ1059" s="958"/>
      <c r="BA1059" s="3"/>
      <c r="BB1059" s="3"/>
      <c r="BC1059" s="3"/>
      <c r="BD1059" s="3"/>
    </row>
    <row r="1060" spans="1:56" ht="12.9" customHeight="1">
      <c r="A1060" s="14"/>
      <c r="B1060" s="73"/>
      <c r="C1060" s="83"/>
      <c r="D1060" s="1403"/>
      <c r="E1060" s="1298"/>
      <c r="F1060" s="1298"/>
      <c r="G1060" s="1298"/>
      <c r="H1060" s="1298"/>
      <c r="I1060" s="1298"/>
      <c r="J1060" s="1298"/>
      <c r="K1060" s="1298"/>
      <c r="L1060" s="1298"/>
      <c r="M1060" s="1298"/>
      <c r="N1060" s="1298"/>
      <c r="O1060" s="1298"/>
      <c r="P1060" s="1298"/>
      <c r="Q1060" s="1298"/>
      <c r="R1060" s="1298"/>
      <c r="S1060" s="1298"/>
      <c r="T1060" s="1298"/>
      <c r="U1060" s="1298"/>
      <c r="V1060" s="1298"/>
      <c r="W1060" s="1298"/>
      <c r="X1060" s="1298"/>
      <c r="Y1060" s="1298"/>
      <c r="Z1060" s="1298"/>
      <c r="AA1060" s="1298"/>
      <c r="AB1060" s="1298"/>
      <c r="AC1060" s="1298"/>
      <c r="AD1060" s="1298"/>
      <c r="AE1060" s="1383"/>
      <c r="AF1060" s="917"/>
      <c r="AG1060" s="918"/>
      <c r="AH1060" s="918"/>
      <c r="AI1060" s="919"/>
      <c r="AJ1060" s="1403"/>
      <c r="AK1060" s="1298"/>
      <c r="AL1060" s="1298"/>
      <c r="AM1060" s="1298"/>
      <c r="AN1060" s="1298"/>
      <c r="AO1060" s="1298"/>
      <c r="AP1060" s="1298"/>
      <c r="AQ1060" s="1383"/>
      <c r="AR1060" s="68"/>
      <c r="AS1060" s="68"/>
      <c r="AT1060" s="68"/>
      <c r="AU1060" s="68"/>
      <c r="AV1060" s="68"/>
      <c r="AW1060" s="68"/>
      <c r="AX1060" s="68"/>
      <c r="AY1060" s="68"/>
      <c r="AZ1060" s="958">
        <f>ROUNDDOWN(MIN(SUM(AZ1055,AZ1056,AZ1057,AZ1058),BD1060),0)</f>
        <v>2434171</v>
      </c>
      <c r="BA1060" s="3" t="s">
        <v>1791</v>
      </c>
      <c r="BB1060" s="3"/>
      <c r="BC1060" s="3"/>
      <c r="BD1060" s="3">
        <f t="array" ref="BD1060">_xlfn.IFS(BA1049,3000000,AND(BA1050&gt;=25%,BA1051&gt;=15),2800000,TRUE,2500000)</f>
        <v>2500000</v>
      </c>
    </row>
    <row r="1061" spans="1:56" ht="12.9" customHeight="1">
      <c r="A1061" s="14"/>
      <c r="B1061" s="77"/>
      <c r="C1061" s="78"/>
      <c r="D1061" s="132" t="s">
        <v>1784</v>
      </c>
      <c r="E1061" s="133"/>
      <c r="F1061" s="133"/>
      <c r="G1061" s="133"/>
      <c r="H1061" s="133"/>
      <c r="I1061" s="1560">
        <f>AY1012</f>
        <v>64</v>
      </c>
      <c r="J1061" s="1264"/>
      <c r="K1061" s="14"/>
      <c r="L1061" s="133"/>
      <c r="M1061" s="133"/>
      <c r="N1061" s="133"/>
      <c r="O1061" s="133"/>
      <c r="P1061" s="133"/>
      <c r="Q1061" s="133"/>
      <c r="R1061" s="133"/>
      <c r="S1061" s="133"/>
      <c r="T1061" s="133"/>
      <c r="U1061" s="133"/>
      <c r="V1061" s="134" t="s">
        <v>1792</v>
      </c>
      <c r="X1061" s="1396">
        <f>CM761</f>
        <v>9</v>
      </c>
      <c r="Y1061" s="1264"/>
      <c r="AF1061" s="920"/>
      <c r="AG1061" s="921"/>
      <c r="AH1061" s="921"/>
      <c r="AI1061" s="922"/>
      <c r="AJ1061" s="1404"/>
      <c r="AK1061" s="1405"/>
      <c r="AL1061" s="1405"/>
      <c r="AM1061" s="1405"/>
      <c r="AN1061" s="1405"/>
      <c r="AO1061" s="1405"/>
      <c r="AP1061" s="1405"/>
      <c r="AQ1061" s="1296"/>
      <c r="AR1061" s="68"/>
      <c r="AS1061" s="68"/>
      <c r="AT1061" s="68"/>
      <c r="AU1061" s="68"/>
      <c r="AV1061" s="68"/>
      <c r="AW1061" s="68"/>
      <c r="AX1061" s="68"/>
      <c r="AY1061" s="68"/>
      <c r="AZ1061" s="958">
        <f>ROUNDDOWN(MAX(0,BA1061*(SUM(AG1102,AL1102,AZ1054)-BD1061))+BF1061,0)</f>
        <v>0</v>
      </c>
      <c r="BA1061" s="1172">
        <f>IF(L1051,7%,5%)</f>
        <v>0.05</v>
      </c>
      <c r="BB1061" s="3" t="s">
        <v>1793</v>
      </c>
      <c r="BC1061" s="3"/>
      <c r="BD1061" s="3">
        <v>6666667</v>
      </c>
    </row>
    <row r="1062" spans="1:56" ht="12.9" customHeight="1">
      <c r="A1062" s="14"/>
      <c r="B1062" s="102"/>
      <c r="C1062" s="103"/>
      <c r="D1062" s="1667" t="s">
        <v>1794</v>
      </c>
      <c r="E1062" s="1263"/>
      <c r="F1062" s="1263"/>
      <c r="G1062" s="1263"/>
      <c r="H1062" s="1263"/>
      <c r="I1062" s="1263"/>
      <c r="J1062" s="1263"/>
      <c r="K1062" s="1263"/>
      <c r="L1062" s="1263"/>
      <c r="M1062" s="1263"/>
      <c r="N1062" s="1263"/>
      <c r="O1062" s="1263"/>
      <c r="P1062" s="1263"/>
      <c r="Q1062" s="1263"/>
      <c r="R1062" s="1263"/>
      <c r="S1062" s="1263"/>
      <c r="T1062" s="1263"/>
      <c r="U1062" s="1263"/>
      <c r="V1062" s="1263"/>
      <c r="W1062" s="1263"/>
      <c r="X1062" s="1263"/>
      <c r="Y1062" s="1263"/>
      <c r="Z1062" s="1263"/>
      <c r="AA1062" s="1263"/>
      <c r="AB1062" s="1263"/>
      <c r="AC1062" s="1263"/>
      <c r="AD1062" s="1263"/>
      <c r="AE1062" s="1263"/>
      <c r="AF1062" s="1263"/>
      <c r="AG1062" s="1263"/>
      <c r="AH1062" s="1263"/>
      <c r="AI1062" s="1264"/>
      <c r="AJ1062" s="1519">
        <f>SUM(AJ1001:AQ1061)</f>
        <v>83279551.840000004</v>
      </c>
      <c r="AK1062" s="1263"/>
      <c r="AL1062" s="1263"/>
      <c r="AM1062" s="1263"/>
      <c r="AN1062" s="1263"/>
      <c r="AO1062" s="1263"/>
      <c r="AP1062" s="1263"/>
      <c r="AQ1062" s="1264"/>
      <c r="AR1062" s="68"/>
      <c r="AS1062" s="68"/>
      <c r="AT1062" s="68"/>
      <c r="AU1062" s="68"/>
      <c r="AV1062" s="68"/>
      <c r="AW1062" s="68"/>
      <c r="AX1062" s="68"/>
      <c r="AY1062" s="68"/>
      <c r="AZ1062" s="1171">
        <v>6000000</v>
      </c>
      <c r="BA1062" s="3" t="s">
        <v>1795</v>
      </c>
      <c r="BB1062" s="3"/>
      <c r="BC1062" s="3"/>
      <c r="BD1062" s="3"/>
    </row>
    <row r="1063" spans="1:56" ht="12.9"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 customHeight="1">
      <c r="A1064" s="14"/>
      <c r="B1064" s="68"/>
      <c r="C1064" s="68"/>
      <c r="D1064" s="68"/>
      <c r="E1064" s="68"/>
      <c r="F1064" s="68"/>
      <c r="G1064" s="1163" t="s">
        <v>1796</v>
      </c>
      <c r="H1064" s="1164"/>
      <c r="I1064" s="1164"/>
      <c r="J1064" s="1164"/>
      <c r="K1064" s="1164"/>
      <c r="L1064" s="1164"/>
      <c r="M1064" s="1164"/>
      <c r="N1064" s="1164"/>
      <c r="O1064" s="1164"/>
      <c r="P1064" s="1164"/>
      <c r="Q1064" s="1164"/>
      <c r="R1064" s="1164"/>
      <c r="S1064" s="1164"/>
      <c r="T1064" s="1164"/>
      <c r="U1064" s="1164"/>
      <c r="V1064" s="1164"/>
      <c r="W1064" s="1164"/>
      <c r="X1064" s="1164"/>
      <c r="Y1064" s="1164"/>
      <c r="Z1064" s="1164"/>
      <c r="AA1064" s="1164"/>
      <c r="AB1064" s="1164"/>
      <c r="AC1064" s="1164"/>
      <c r="AD1064" s="1164"/>
      <c r="AE1064" s="1164"/>
      <c r="AF1064" s="1164"/>
      <c r="AG1064" s="1165"/>
      <c r="AH1064" s="1165"/>
      <c r="AI1064" s="1165"/>
      <c r="AJ1064" s="1165"/>
      <c r="AK1064" s="1165"/>
      <c r="AL1064" s="1165"/>
      <c r="AM1064" s="1165"/>
      <c r="AN1064" s="1165"/>
      <c r="AO1064" s="68"/>
      <c r="AP1064" s="68"/>
      <c r="AQ1064" s="68"/>
      <c r="AR1064" s="68"/>
      <c r="AS1064" s="68"/>
      <c r="AT1064" s="68"/>
      <c r="AU1064" s="68"/>
      <c r="AV1064" s="68"/>
      <c r="AW1064" s="68"/>
      <c r="AX1064" s="68"/>
      <c r="AY1064" s="68"/>
      <c r="AZ1064" s="3"/>
      <c r="BA1064" s="958">
        <f>MIN(MIN(MAX(AZ1060,AZ1061),AZ1062),BA1065)</f>
        <v>2434171</v>
      </c>
      <c r="BB1064" s="3" t="s">
        <v>1797</v>
      </c>
      <c r="BC1064" s="3"/>
      <c r="BD1064" s="3"/>
    </row>
    <row r="1065" spans="1:56" ht="12.9" customHeight="1">
      <c r="A1065" s="14"/>
      <c r="B1065" s="68"/>
      <c r="C1065" s="68"/>
      <c r="D1065" s="68"/>
      <c r="E1065" s="68"/>
      <c r="F1065" s="68"/>
      <c r="G1065" s="1166" t="s">
        <v>1798</v>
      </c>
      <c r="H1065" s="1167"/>
      <c r="I1065" s="1167"/>
      <c r="J1065" s="1167"/>
      <c r="K1065" s="1167"/>
      <c r="L1065" s="1167"/>
      <c r="M1065" s="1167"/>
      <c r="N1065" s="1167"/>
      <c r="O1065" s="1167"/>
      <c r="P1065" s="1167"/>
      <c r="Q1065" s="1167"/>
      <c r="R1065" s="1167"/>
      <c r="S1065" s="1167"/>
      <c r="T1065" s="1167"/>
      <c r="U1065" s="1167"/>
      <c r="V1065" s="1167"/>
      <c r="W1065" s="1167"/>
      <c r="X1065" s="1167"/>
      <c r="Y1065" s="1167"/>
      <c r="Z1065" s="1167"/>
      <c r="AA1065" s="1453">
        <f>'Sources and Uses Budget'!S107+'Sources and Uses Budget'!T107</f>
        <v>27352250</v>
      </c>
      <c r="AB1065" s="1454"/>
      <c r="AC1065" s="1454"/>
      <c r="AD1065" s="1454"/>
      <c r="AE1065" s="1454"/>
      <c r="AF1065" s="1454"/>
      <c r="AG1065" s="1165"/>
      <c r="AH1065" s="1165"/>
      <c r="AI1065" s="1165"/>
      <c r="AJ1065" s="1165"/>
      <c r="AK1065" s="1165"/>
      <c r="AL1065" s="1165"/>
      <c r="AM1065" s="1165"/>
      <c r="AN1065" s="1165"/>
      <c r="AO1065" s="68"/>
      <c r="AP1065" s="68"/>
      <c r="AQ1065" s="68"/>
      <c r="AR1065" s="68"/>
      <c r="AS1065" s="68"/>
      <c r="AT1065" s="68"/>
      <c r="AU1065" s="68"/>
      <c r="AV1065" s="13"/>
      <c r="AW1065" s="13"/>
      <c r="AX1065" s="13"/>
      <c r="AY1065" s="13"/>
      <c r="AZ1065" s="3"/>
      <c r="BA1065" s="958">
        <f>SUM(AZ1055:AZ1058)</f>
        <v>2434171.0499999998</v>
      </c>
      <c r="BB1065" s="3" t="s">
        <v>1799</v>
      </c>
      <c r="BC1065" s="3"/>
      <c r="BD1065" s="3"/>
    </row>
    <row r="1066" spans="1:56" ht="12.9" customHeight="1">
      <c r="A1066" s="14"/>
      <c r="B1066" s="68"/>
      <c r="C1066" s="68"/>
      <c r="D1066" s="68"/>
      <c r="E1066" s="68"/>
      <c r="F1066" s="68"/>
      <c r="G1066" s="1166"/>
      <c r="H1066" s="1166" t="s">
        <v>1800</v>
      </c>
      <c r="I1066" s="1167"/>
      <c r="J1066" s="1167"/>
      <c r="K1066" s="1167"/>
      <c r="L1066" s="1167"/>
      <c r="M1066" s="1167"/>
      <c r="N1066" s="1167"/>
      <c r="O1066" s="1167"/>
      <c r="P1066" s="1167"/>
      <c r="Q1066" s="1167"/>
      <c r="R1066" s="1167"/>
      <c r="S1066" s="1167"/>
      <c r="T1066" s="1167"/>
      <c r="U1066" s="1167"/>
      <c r="V1066" s="1167"/>
      <c r="W1066" s="1167"/>
      <c r="X1066" s="1167"/>
      <c r="Y1066" s="1167"/>
      <c r="Z1066" s="1169"/>
      <c r="AA1066" s="1510">
        <f>IFERROR((AA1065-BA1068)/(AJ1062-AJ1054-AJ1058),"")</f>
        <v>0.59086416524596896</v>
      </c>
      <c r="AB1066" s="1511"/>
      <c r="AC1066" s="1511"/>
      <c r="AD1066" s="1511"/>
      <c r="AE1066" s="1511"/>
      <c r="AF1066" s="1512"/>
      <c r="AG1066" s="1168"/>
      <c r="AH1066" s="1165"/>
      <c r="AI1066" s="1165"/>
      <c r="AJ1066" s="1165"/>
      <c r="AK1066" s="1165"/>
      <c r="AL1066" s="1165"/>
      <c r="AM1066" s="1165"/>
      <c r="AN1066" s="1165"/>
      <c r="AO1066" s="68"/>
      <c r="AP1066" s="68"/>
      <c r="AQ1066" s="68"/>
      <c r="AR1066" s="68"/>
      <c r="AS1066" s="68"/>
      <c r="AT1066" s="68"/>
      <c r="AU1066" s="68"/>
      <c r="AV1066" s="13"/>
      <c r="AW1066" s="13"/>
      <c r="AX1066" s="13"/>
      <c r="AY1066" s="13"/>
    </row>
    <row r="1067" spans="1:56" ht="12.9" customHeight="1">
      <c r="A1067" s="14"/>
      <c r="B1067" s="68"/>
      <c r="C1067" s="68"/>
      <c r="D1067" s="68"/>
      <c r="E1067" s="68"/>
      <c r="F1067" s="68"/>
      <c r="G1067" s="153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68"/>
      <c r="AP1067" s="68"/>
      <c r="AQ1067" s="68"/>
      <c r="AR1067" s="68"/>
      <c r="AS1067" s="68"/>
      <c r="AT1067" s="68"/>
      <c r="AU1067" s="68"/>
      <c r="AV1067" s="14"/>
      <c r="AW1067" s="14"/>
      <c r="AX1067" s="14"/>
      <c r="AY1067" s="14"/>
      <c r="BA1067" s="1175">
        <f>'Sources and Uses Budget'!$S$104+'Sources and Uses Budget'!$T$104</f>
        <v>3043539</v>
      </c>
      <c r="BB1067" s="3" t="s">
        <v>1801</v>
      </c>
    </row>
    <row r="1068" spans="1:56" ht="12.9" customHeight="1">
      <c r="A1068" s="14"/>
      <c r="B1068" s="14"/>
      <c r="C1068" s="208"/>
      <c r="D1068" s="854"/>
      <c r="E1068" s="854"/>
      <c r="F1068" s="854"/>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68"/>
      <c r="AP1068" s="68"/>
      <c r="AQ1068" s="68"/>
      <c r="AR1068" s="68"/>
      <c r="AS1068" s="68"/>
      <c r="AT1068" s="68"/>
      <c r="AU1068" s="68"/>
      <c r="AV1068" s="14"/>
      <c r="AW1068" s="14"/>
      <c r="AX1068" s="14"/>
      <c r="AY1068" s="14"/>
      <c r="BA1068" s="1176">
        <f>MAX($BA$1067-$BA$1064,0)</f>
        <v>609368</v>
      </c>
      <c r="BB1068" s="3" t="s">
        <v>1802</v>
      </c>
    </row>
    <row r="1069" spans="1:56" ht="12.9" customHeight="1">
      <c r="A1069" s="88"/>
      <c r="B1069" s="1162"/>
      <c r="C1069" s="1162"/>
      <c r="D1069" s="1162"/>
      <c r="E1069" s="1162"/>
      <c r="F1069" s="1162"/>
      <c r="G1069" s="1298"/>
      <c r="H1069" s="1298"/>
      <c r="I1069" s="1298"/>
      <c r="J1069" s="1298"/>
      <c r="K1069" s="1298"/>
      <c r="L1069" s="1298"/>
      <c r="M1069" s="1298"/>
      <c r="N1069" s="1298"/>
      <c r="O1069" s="1298"/>
      <c r="P1069" s="1298"/>
      <c r="Q1069" s="1298"/>
      <c r="R1069" s="1298"/>
      <c r="S1069" s="1298"/>
      <c r="T1069" s="1298"/>
      <c r="U1069" s="1298"/>
      <c r="V1069" s="1298"/>
      <c r="W1069" s="1298"/>
      <c r="X1069" s="1298"/>
      <c r="Y1069" s="1298"/>
      <c r="Z1069" s="1298"/>
      <c r="AA1069" s="1298"/>
      <c r="AB1069" s="1298"/>
      <c r="AC1069" s="1298"/>
      <c r="AD1069" s="1298"/>
      <c r="AE1069" s="1298"/>
      <c r="AF1069" s="1298"/>
      <c r="AG1069" s="1298"/>
      <c r="AH1069" s="1298"/>
      <c r="AI1069" s="1298"/>
      <c r="AJ1069" s="1298"/>
      <c r="AK1069" s="1298"/>
      <c r="AL1069" s="1298"/>
      <c r="AM1069" s="1298"/>
      <c r="AN1069" s="1298"/>
      <c r="AO1069" s="1162"/>
      <c r="AP1069" s="1162"/>
      <c r="AQ1069" s="68"/>
      <c r="AR1069" s="68"/>
      <c r="AS1069" s="68"/>
      <c r="AT1069" s="68"/>
      <c r="AU1069" s="68"/>
      <c r="AV1069" s="68"/>
      <c r="AW1069" s="68"/>
      <c r="AX1069" s="68"/>
      <c r="AY1069" s="68"/>
    </row>
    <row r="1070" spans="1:56" ht="12.9" customHeight="1">
      <c r="A1070" s="1621" t="s">
        <v>1803</v>
      </c>
      <c r="B1070" s="1298"/>
      <c r="C1070" s="1298"/>
      <c r="D1070" s="1298"/>
      <c r="E1070" s="1298"/>
      <c r="F1070" s="1298"/>
      <c r="G1070" s="1298"/>
      <c r="H1070" s="1298"/>
      <c r="I1070" s="1298"/>
      <c r="J1070" s="1298"/>
      <c r="K1070" s="1298"/>
      <c r="L1070" s="1298"/>
      <c r="M1070" s="1298"/>
      <c r="N1070" s="1298"/>
      <c r="O1070" s="1298"/>
      <c r="P1070" s="1298"/>
      <c r="Q1070" s="1298"/>
      <c r="R1070" s="1298"/>
      <c r="S1070" s="1298"/>
      <c r="T1070" s="1298"/>
      <c r="U1070" s="1298"/>
      <c r="V1070" s="1298"/>
      <c r="W1070" s="1298"/>
      <c r="X1070" s="1298"/>
      <c r="Y1070" s="1298"/>
      <c r="Z1070" s="1298"/>
      <c r="AA1070" s="1298"/>
      <c r="AB1070" s="1298"/>
      <c r="AC1070" s="1298"/>
      <c r="AD1070" s="1298"/>
      <c r="AE1070" s="1298"/>
      <c r="AF1070" s="1298"/>
      <c r="AG1070" s="1298"/>
      <c r="AH1070" s="1298"/>
      <c r="AI1070" s="1298"/>
      <c r="AJ1070" s="1298"/>
      <c r="AK1070" s="1298"/>
      <c r="AL1070" s="1298"/>
      <c r="AM1070" s="1298"/>
      <c r="AN1070" s="1298"/>
      <c r="AO1070" s="1298"/>
      <c r="AP1070" s="1298"/>
      <c r="AQ1070" s="1298"/>
      <c r="AR1070" s="13"/>
      <c r="AS1070" s="13"/>
      <c r="AT1070" s="13"/>
      <c r="AV1070" s="68"/>
      <c r="AW1070" s="68"/>
      <c r="AX1070" s="68"/>
      <c r="AY1070" s="68"/>
    </row>
    <row r="1071" spans="1:56" ht="12.9"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 customHeight="1">
      <c r="A1072" s="57" t="s">
        <v>1804</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 customHeight="1">
      <c r="A1073" s="198" t="s">
        <v>1805</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 customHeight="1">
      <c r="A1074" s="1401" t="s">
        <v>935</v>
      </c>
      <c r="B1074" s="1294"/>
      <c r="C1074" s="1372">
        <v>1</v>
      </c>
      <c r="D1074" s="1298"/>
      <c r="E1074" s="14" t="s">
        <v>1806</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 customHeight="1">
      <c r="A1075" s="198"/>
      <c r="B1075" s="67"/>
      <c r="C1075" s="1372"/>
      <c r="D1075" s="1298"/>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 customHeight="1">
      <c r="A1076" s="1401" t="s">
        <v>935</v>
      </c>
      <c r="B1076" s="1294"/>
      <c r="C1076" s="1372">
        <v>2</v>
      </c>
      <c r="D1076" s="1298"/>
      <c r="E1076" s="1551" t="s">
        <v>1807</v>
      </c>
      <c r="F1076" s="1298"/>
      <c r="G1076" s="1298"/>
      <c r="H1076" s="1298"/>
      <c r="I1076" s="1298"/>
      <c r="J1076" s="1298"/>
      <c r="K1076" s="1298"/>
      <c r="L1076" s="1298"/>
      <c r="M1076" s="1298"/>
      <c r="N1076" s="1298"/>
      <c r="O1076" s="1298"/>
      <c r="P1076" s="1298"/>
      <c r="Q1076" s="1298"/>
      <c r="R1076" s="1298"/>
      <c r="S1076" s="1298"/>
      <c r="T1076" s="1298"/>
      <c r="U1076" s="1298"/>
      <c r="V1076" s="1298"/>
      <c r="W1076" s="1298"/>
      <c r="X1076" s="1298"/>
      <c r="Y1076" s="1298"/>
      <c r="Z1076" s="1298"/>
      <c r="AA1076" s="1298"/>
      <c r="AB1076" s="1298"/>
      <c r="AC1076" s="1298"/>
      <c r="AD1076" s="1298"/>
      <c r="AE1076" s="1298"/>
      <c r="AF1076" s="1298"/>
      <c r="AG1076" s="1298"/>
      <c r="AH1076" s="1298"/>
      <c r="AI1076" s="1298"/>
      <c r="AJ1076" s="1298"/>
      <c r="AK1076" s="1298"/>
      <c r="AL1076" s="1298"/>
      <c r="AM1076" s="1298"/>
      <c r="AN1076" s="1298"/>
      <c r="AO1076" s="1298"/>
      <c r="AP1076" s="1298"/>
      <c r="AQ1076" s="1298"/>
      <c r="AR1076" s="1298"/>
      <c r="AS1076" s="14"/>
      <c r="AT1076" s="14"/>
      <c r="AV1076" s="68"/>
      <c r="AW1076" s="68"/>
      <c r="AX1076" s="68"/>
      <c r="AY1076" s="68"/>
    </row>
    <row r="1077" spans="1:51" ht="12.9" customHeight="1">
      <c r="A1077" s="198"/>
      <c r="B1077" s="67"/>
      <c r="C1077" s="1372"/>
      <c r="D1077" s="1298"/>
      <c r="E1077" s="1298"/>
      <c r="F1077" s="1298"/>
      <c r="G1077" s="1298"/>
      <c r="H1077" s="1298"/>
      <c r="I1077" s="1298"/>
      <c r="J1077" s="1298"/>
      <c r="K1077" s="1298"/>
      <c r="L1077" s="1298"/>
      <c r="M1077" s="1298"/>
      <c r="N1077" s="1298"/>
      <c r="O1077" s="1298"/>
      <c r="P1077" s="1298"/>
      <c r="Q1077" s="1298"/>
      <c r="R1077" s="1298"/>
      <c r="S1077" s="1298"/>
      <c r="T1077" s="1298"/>
      <c r="U1077" s="1298"/>
      <c r="V1077" s="1298"/>
      <c r="W1077" s="1298"/>
      <c r="X1077" s="1298"/>
      <c r="Y1077" s="1298"/>
      <c r="Z1077" s="1298"/>
      <c r="AA1077" s="1298"/>
      <c r="AB1077" s="1298"/>
      <c r="AC1077" s="1298"/>
      <c r="AD1077" s="1298"/>
      <c r="AE1077" s="1298"/>
      <c r="AF1077" s="1298"/>
      <c r="AG1077" s="1298"/>
      <c r="AH1077" s="1298"/>
      <c r="AI1077" s="1298"/>
      <c r="AJ1077" s="1298"/>
      <c r="AK1077" s="1298"/>
      <c r="AL1077" s="1298"/>
      <c r="AM1077" s="1298"/>
      <c r="AN1077" s="1298"/>
      <c r="AO1077" s="1298"/>
      <c r="AP1077" s="1298"/>
      <c r="AQ1077" s="1298"/>
      <c r="AR1077" s="1298"/>
      <c r="AS1077" s="14"/>
      <c r="AT1077" s="14"/>
      <c r="AV1077" s="68"/>
      <c r="AW1077" s="68"/>
      <c r="AX1077" s="68"/>
      <c r="AY1077" s="68"/>
    </row>
    <row r="1078" spans="1:51" ht="12.9" customHeight="1">
      <c r="A1078" s="198"/>
      <c r="B1078" s="67"/>
      <c r="C1078" s="1372"/>
      <c r="D1078" s="1298"/>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 customHeight="1">
      <c r="A1079" s="1401" t="s">
        <v>935</v>
      </c>
      <c r="B1079" s="1294"/>
      <c r="C1079" s="1437">
        <v>3</v>
      </c>
      <c r="D1079" s="1298"/>
      <c r="E1079" s="1352" t="s">
        <v>1808</v>
      </c>
      <c r="F1079" s="1298"/>
      <c r="G1079" s="1298"/>
      <c r="H1079" s="1298"/>
      <c r="I1079" s="1298"/>
      <c r="J1079" s="1298"/>
      <c r="K1079" s="1298"/>
      <c r="L1079" s="1298"/>
      <c r="M1079" s="1298"/>
      <c r="N1079" s="1298"/>
      <c r="O1079" s="1298"/>
      <c r="P1079" s="1298"/>
      <c r="Q1079" s="1298"/>
      <c r="R1079" s="1298"/>
      <c r="S1079" s="1298"/>
      <c r="T1079" s="1298"/>
      <c r="U1079" s="1298"/>
      <c r="V1079" s="1298"/>
      <c r="W1079" s="1298"/>
      <c r="X1079" s="1298"/>
      <c r="Y1079" s="1298"/>
      <c r="Z1079" s="1298"/>
      <c r="AA1079" s="1298"/>
      <c r="AB1079" s="1298"/>
      <c r="AC1079" s="1298"/>
      <c r="AD1079" s="1298"/>
      <c r="AE1079" s="1298"/>
      <c r="AF1079" s="1298"/>
      <c r="AG1079" s="1298"/>
      <c r="AH1079" s="1298"/>
      <c r="AI1079" s="1298"/>
      <c r="AJ1079" s="1298"/>
      <c r="AK1079" s="1298"/>
      <c r="AL1079" s="1298"/>
      <c r="AM1079" s="1298"/>
      <c r="AN1079" s="1298"/>
      <c r="AO1079" s="1298"/>
      <c r="AP1079" s="1298"/>
      <c r="AQ1079" s="1298"/>
      <c r="AR1079" s="1298"/>
      <c r="AS1079" s="14"/>
      <c r="AT1079" s="68"/>
      <c r="AV1079" s="68"/>
      <c r="AW1079" s="68"/>
      <c r="AX1079" s="68"/>
      <c r="AY1079" s="68"/>
    </row>
    <row r="1080" spans="1:51" ht="12.9" customHeight="1">
      <c r="A1080" s="1"/>
      <c r="B1080" s="1"/>
      <c r="C1080" s="1437"/>
      <c r="D1080" s="1298"/>
      <c r="E1080" s="1298"/>
      <c r="F1080" s="1298"/>
      <c r="G1080" s="1298"/>
      <c r="H1080" s="1298"/>
      <c r="I1080" s="1298"/>
      <c r="J1080" s="1298"/>
      <c r="K1080" s="1298"/>
      <c r="L1080" s="1298"/>
      <c r="M1080" s="1298"/>
      <c r="N1080" s="1298"/>
      <c r="O1080" s="1298"/>
      <c r="P1080" s="1298"/>
      <c r="Q1080" s="1298"/>
      <c r="R1080" s="1298"/>
      <c r="S1080" s="1298"/>
      <c r="T1080" s="1298"/>
      <c r="U1080" s="1298"/>
      <c r="V1080" s="1298"/>
      <c r="W1080" s="1298"/>
      <c r="X1080" s="1298"/>
      <c r="Y1080" s="1298"/>
      <c r="Z1080" s="1298"/>
      <c r="AA1080" s="1298"/>
      <c r="AB1080" s="1298"/>
      <c r="AC1080" s="1298"/>
      <c r="AD1080" s="1298"/>
      <c r="AE1080" s="1298"/>
      <c r="AF1080" s="1298"/>
      <c r="AG1080" s="1298"/>
      <c r="AH1080" s="1298"/>
      <c r="AI1080" s="1298"/>
      <c r="AJ1080" s="1298"/>
      <c r="AK1080" s="1298"/>
      <c r="AL1080" s="1298"/>
      <c r="AM1080" s="1298"/>
      <c r="AN1080" s="1298"/>
      <c r="AO1080" s="1298"/>
      <c r="AP1080" s="1298"/>
      <c r="AQ1080" s="1298"/>
      <c r="AR1080" s="1298"/>
      <c r="AS1080" s="14"/>
      <c r="AT1080" s="68"/>
      <c r="AV1080" s="68"/>
      <c r="AW1080" s="68"/>
      <c r="AX1080" s="68"/>
      <c r="AY1080" s="68"/>
    </row>
    <row r="1081" spans="1:51" ht="12.9" customHeight="1">
      <c r="A1081" s="1"/>
      <c r="B1081" s="1"/>
      <c r="C1081" s="1437"/>
      <c r="D1081" s="1298"/>
      <c r="E1081" s="1298"/>
      <c r="F1081" s="1298"/>
      <c r="G1081" s="1298"/>
      <c r="H1081" s="1298"/>
      <c r="I1081" s="1298"/>
      <c r="J1081" s="1298"/>
      <c r="K1081" s="1298"/>
      <c r="L1081" s="1298"/>
      <c r="M1081" s="1298"/>
      <c r="N1081" s="1298"/>
      <c r="O1081" s="1298"/>
      <c r="P1081" s="1298"/>
      <c r="Q1081" s="1298"/>
      <c r="R1081" s="1298"/>
      <c r="S1081" s="1298"/>
      <c r="T1081" s="1298"/>
      <c r="U1081" s="1298"/>
      <c r="V1081" s="1298"/>
      <c r="W1081" s="1298"/>
      <c r="X1081" s="1298"/>
      <c r="Y1081" s="1298"/>
      <c r="Z1081" s="1298"/>
      <c r="AA1081" s="1298"/>
      <c r="AB1081" s="1298"/>
      <c r="AC1081" s="1298"/>
      <c r="AD1081" s="1298"/>
      <c r="AE1081" s="1298"/>
      <c r="AF1081" s="1298"/>
      <c r="AG1081" s="1298"/>
      <c r="AH1081" s="1298"/>
      <c r="AI1081" s="1298"/>
      <c r="AJ1081" s="1298"/>
      <c r="AK1081" s="1298"/>
      <c r="AL1081" s="1298"/>
      <c r="AM1081" s="1298"/>
      <c r="AN1081" s="1298"/>
      <c r="AO1081" s="1298"/>
      <c r="AP1081" s="1298"/>
      <c r="AQ1081" s="1298"/>
      <c r="AR1081" s="1298"/>
      <c r="AS1081" s="14"/>
      <c r="AT1081" s="68"/>
      <c r="AV1081" s="68"/>
      <c r="AW1081" s="68"/>
      <c r="AX1081" s="68"/>
      <c r="AY1081" s="68"/>
    </row>
    <row r="1082" spans="1:51" ht="12.9" customHeight="1">
      <c r="A1082" s="1"/>
      <c r="B1082" s="1"/>
      <c r="C1082" s="1437"/>
      <c r="D1082" s="1298"/>
      <c r="E1082" s="1298"/>
      <c r="F1082" s="1298"/>
      <c r="G1082" s="1298"/>
      <c r="H1082" s="1298"/>
      <c r="I1082" s="1298"/>
      <c r="J1082" s="1298"/>
      <c r="K1082" s="1298"/>
      <c r="L1082" s="1298"/>
      <c r="M1082" s="1298"/>
      <c r="N1082" s="1298"/>
      <c r="O1082" s="1298"/>
      <c r="P1082" s="1298"/>
      <c r="Q1082" s="1298"/>
      <c r="R1082" s="1298"/>
      <c r="S1082" s="1298"/>
      <c r="T1082" s="1298"/>
      <c r="U1082" s="1298"/>
      <c r="V1082" s="1298"/>
      <c r="W1082" s="1298"/>
      <c r="X1082" s="1298"/>
      <c r="Y1082" s="1298"/>
      <c r="Z1082" s="1298"/>
      <c r="AA1082" s="1298"/>
      <c r="AB1082" s="1298"/>
      <c r="AC1082" s="1298"/>
      <c r="AD1082" s="1298"/>
      <c r="AE1082" s="1298"/>
      <c r="AF1082" s="1298"/>
      <c r="AG1082" s="1298"/>
      <c r="AH1082" s="1298"/>
      <c r="AI1082" s="1298"/>
      <c r="AJ1082" s="1298"/>
      <c r="AK1082" s="1298"/>
      <c r="AL1082" s="1298"/>
      <c r="AM1082" s="1298"/>
      <c r="AN1082" s="1298"/>
      <c r="AO1082" s="1298"/>
      <c r="AP1082" s="1298"/>
      <c r="AQ1082" s="1298"/>
      <c r="AR1082" s="1298"/>
      <c r="AS1082" s="14"/>
      <c r="AT1082" s="68"/>
      <c r="AV1082" s="68"/>
      <c r="AW1082" s="68"/>
      <c r="AX1082" s="68"/>
      <c r="AY1082" s="68"/>
    </row>
    <row r="1083" spans="1:51" ht="12.9" customHeight="1">
      <c r="A1083" s="2"/>
      <c r="B1083" s="25"/>
      <c r="C1083" s="1437"/>
      <c r="D1083" s="1298"/>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 customHeight="1">
      <c r="A1084" s="1401" t="s">
        <v>935</v>
      </c>
      <c r="B1084" s="1294"/>
      <c r="C1084" s="1437">
        <v>4</v>
      </c>
      <c r="D1084" s="1298"/>
      <c r="E1084" s="1352" t="s">
        <v>1809</v>
      </c>
      <c r="F1084" s="1298"/>
      <c r="G1084" s="1298"/>
      <c r="H1084" s="1298"/>
      <c r="I1084" s="1298"/>
      <c r="J1084" s="1298"/>
      <c r="K1084" s="1298"/>
      <c r="L1084" s="1298"/>
      <c r="M1084" s="1298"/>
      <c r="N1084" s="1298"/>
      <c r="O1084" s="1298"/>
      <c r="P1084" s="1298"/>
      <c r="Q1084" s="1298"/>
      <c r="R1084" s="1298"/>
      <c r="S1084" s="1298"/>
      <c r="T1084" s="1298"/>
      <c r="U1084" s="1298"/>
      <c r="V1084" s="1298"/>
      <c r="W1084" s="1298"/>
      <c r="X1084" s="1298"/>
      <c r="Y1084" s="1298"/>
      <c r="Z1084" s="1298"/>
      <c r="AA1084" s="1298"/>
      <c r="AB1084" s="1298"/>
      <c r="AC1084" s="1298"/>
      <c r="AD1084" s="1298"/>
      <c r="AE1084" s="1298"/>
      <c r="AF1084" s="1298"/>
      <c r="AG1084" s="1298"/>
      <c r="AH1084" s="1298"/>
      <c r="AI1084" s="1298"/>
      <c r="AJ1084" s="1298"/>
      <c r="AK1084" s="1298"/>
      <c r="AL1084" s="1298"/>
      <c r="AM1084" s="1298"/>
      <c r="AN1084" s="1298"/>
      <c r="AO1084" s="1298"/>
      <c r="AP1084" s="1298"/>
      <c r="AQ1084" s="1298"/>
      <c r="AR1084" s="1298"/>
      <c r="AS1084" s="14"/>
      <c r="AT1084" s="68"/>
    </row>
    <row r="1085" spans="1:51" ht="12.9" customHeight="1">
      <c r="A1085" s="1"/>
      <c r="B1085" s="1"/>
      <c r="C1085" s="1437"/>
      <c r="D1085" s="1298"/>
      <c r="E1085" s="1298"/>
      <c r="F1085" s="1298"/>
      <c r="G1085" s="1298"/>
      <c r="H1085" s="1298"/>
      <c r="I1085" s="1298"/>
      <c r="J1085" s="1298"/>
      <c r="K1085" s="1298"/>
      <c r="L1085" s="1298"/>
      <c r="M1085" s="1298"/>
      <c r="N1085" s="1298"/>
      <c r="O1085" s="1298"/>
      <c r="P1085" s="1298"/>
      <c r="Q1085" s="1298"/>
      <c r="R1085" s="1298"/>
      <c r="S1085" s="1298"/>
      <c r="T1085" s="1298"/>
      <c r="U1085" s="1298"/>
      <c r="V1085" s="1298"/>
      <c r="W1085" s="1298"/>
      <c r="X1085" s="1298"/>
      <c r="Y1085" s="1298"/>
      <c r="Z1085" s="1298"/>
      <c r="AA1085" s="1298"/>
      <c r="AB1085" s="1298"/>
      <c r="AC1085" s="1298"/>
      <c r="AD1085" s="1298"/>
      <c r="AE1085" s="1298"/>
      <c r="AF1085" s="1298"/>
      <c r="AG1085" s="1298"/>
      <c r="AH1085" s="1298"/>
      <c r="AI1085" s="1298"/>
      <c r="AJ1085" s="1298"/>
      <c r="AK1085" s="1298"/>
      <c r="AL1085" s="1298"/>
      <c r="AM1085" s="1298"/>
      <c r="AN1085" s="1298"/>
      <c r="AO1085" s="1298"/>
      <c r="AP1085" s="1298"/>
      <c r="AQ1085" s="1298"/>
      <c r="AR1085" s="1298"/>
      <c r="AS1085" s="14"/>
      <c r="AT1085" s="68"/>
    </row>
    <row r="1086" spans="1:51" ht="12.9" customHeight="1">
      <c r="A1086" s="1"/>
      <c r="B1086" s="1"/>
      <c r="C1086" s="1437"/>
      <c r="D1086" s="1298"/>
      <c r="E1086" s="1298"/>
      <c r="F1086" s="1298"/>
      <c r="G1086" s="1298"/>
      <c r="H1086" s="1298"/>
      <c r="I1086" s="1298"/>
      <c r="J1086" s="1298"/>
      <c r="K1086" s="1298"/>
      <c r="L1086" s="1298"/>
      <c r="M1086" s="1298"/>
      <c r="N1086" s="1298"/>
      <c r="O1086" s="1298"/>
      <c r="P1086" s="1298"/>
      <c r="Q1086" s="1298"/>
      <c r="R1086" s="1298"/>
      <c r="S1086" s="1298"/>
      <c r="T1086" s="1298"/>
      <c r="U1086" s="1298"/>
      <c r="V1086" s="1298"/>
      <c r="W1086" s="1298"/>
      <c r="X1086" s="1298"/>
      <c r="Y1086" s="1298"/>
      <c r="Z1086" s="1298"/>
      <c r="AA1086" s="1298"/>
      <c r="AB1086" s="1298"/>
      <c r="AC1086" s="1298"/>
      <c r="AD1086" s="1298"/>
      <c r="AE1086" s="1298"/>
      <c r="AF1086" s="1298"/>
      <c r="AG1086" s="1298"/>
      <c r="AH1086" s="1298"/>
      <c r="AI1086" s="1298"/>
      <c r="AJ1086" s="1298"/>
      <c r="AK1086" s="1298"/>
      <c r="AL1086" s="1298"/>
      <c r="AM1086" s="1298"/>
      <c r="AN1086" s="1298"/>
      <c r="AO1086" s="1298"/>
      <c r="AP1086" s="1298"/>
      <c r="AQ1086" s="1298"/>
      <c r="AR1086" s="1298"/>
      <c r="AS1086" s="14"/>
      <c r="AT1086" s="68"/>
    </row>
    <row r="1087" spans="1:51" ht="12.9" customHeight="1">
      <c r="A1087" s="1"/>
      <c r="B1087" s="1"/>
      <c r="C1087" s="1437"/>
      <c r="D1087" s="1298"/>
      <c r="E1087" s="1298"/>
      <c r="F1087" s="1298"/>
      <c r="G1087" s="1298"/>
      <c r="H1087" s="1298"/>
      <c r="I1087" s="1298"/>
      <c r="J1087" s="1298"/>
      <c r="K1087" s="1298"/>
      <c r="L1087" s="1298"/>
      <c r="M1087" s="1298"/>
      <c r="N1087" s="1298"/>
      <c r="O1087" s="1298"/>
      <c r="P1087" s="1298"/>
      <c r="Q1087" s="1298"/>
      <c r="R1087" s="1298"/>
      <c r="S1087" s="1298"/>
      <c r="T1087" s="1298"/>
      <c r="U1087" s="1298"/>
      <c r="V1087" s="1298"/>
      <c r="W1087" s="1298"/>
      <c r="X1087" s="1298"/>
      <c r="Y1087" s="1298"/>
      <c r="Z1087" s="1298"/>
      <c r="AA1087" s="1298"/>
      <c r="AB1087" s="1298"/>
      <c r="AC1087" s="1298"/>
      <c r="AD1087" s="1298"/>
      <c r="AE1087" s="1298"/>
      <c r="AF1087" s="1298"/>
      <c r="AG1087" s="1298"/>
      <c r="AH1087" s="1298"/>
      <c r="AI1087" s="1298"/>
      <c r="AJ1087" s="1298"/>
      <c r="AK1087" s="1298"/>
      <c r="AL1087" s="1298"/>
      <c r="AM1087" s="1298"/>
      <c r="AN1087" s="1298"/>
      <c r="AO1087" s="1298"/>
      <c r="AP1087" s="1298"/>
      <c r="AQ1087" s="1298"/>
      <c r="AR1087" s="1298"/>
      <c r="AS1087" s="14"/>
      <c r="AT1087" s="68"/>
    </row>
    <row r="1088" spans="1:51" ht="12.9" customHeight="1">
      <c r="A1088" s="1"/>
      <c r="B1088" s="1"/>
      <c r="C1088" s="1437"/>
      <c r="D1088" s="1298"/>
      <c r="E1088" s="1298"/>
      <c r="F1088" s="1298"/>
      <c r="G1088" s="1298"/>
      <c r="H1088" s="1298"/>
      <c r="I1088" s="1298"/>
      <c r="J1088" s="1298"/>
      <c r="K1088" s="1298"/>
      <c r="L1088" s="1298"/>
      <c r="M1088" s="1298"/>
      <c r="N1088" s="1298"/>
      <c r="O1088" s="1298"/>
      <c r="P1088" s="1298"/>
      <c r="Q1088" s="1298"/>
      <c r="R1088" s="1298"/>
      <c r="S1088" s="1298"/>
      <c r="T1088" s="1298"/>
      <c r="U1088" s="1298"/>
      <c r="V1088" s="1298"/>
      <c r="W1088" s="1298"/>
      <c r="X1088" s="1298"/>
      <c r="Y1088" s="1298"/>
      <c r="Z1088" s="1298"/>
      <c r="AA1088" s="1298"/>
      <c r="AB1088" s="1298"/>
      <c r="AC1088" s="1298"/>
      <c r="AD1088" s="1298"/>
      <c r="AE1088" s="1298"/>
      <c r="AF1088" s="1298"/>
      <c r="AG1088" s="1298"/>
      <c r="AH1088" s="1298"/>
      <c r="AI1088" s="1298"/>
      <c r="AJ1088" s="1298"/>
      <c r="AK1088" s="1298"/>
      <c r="AL1088" s="1298"/>
      <c r="AM1088" s="1298"/>
      <c r="AN1088" s="1298"/>
      <c r="AO1088" s="1298"/>
      <c r="AP1088" s="1298"/>
      <c r="AQ1088" s="1298"/>
      <c r="AR1088" s="1298"/>
      <c r="AS1088" s="14"/>
      <c r="AT1088" s="68"/>
    </row>
    <row r="1089" spans="1:45" ht="12.9" customHeight="1">
      <c r="A1089" s="1"/>
      <c r="B1089" s="1"/>
      <c r="C1089" s="1437"/>
      <c r="D1089" s="1298"/>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 customHeight="1">
      <c r="A1090" s="1401" t="s">
        <v>935</v>
      </c>
      <c r="B1090" s="1294"/>
      <c r="C1090" s="1437">
        <v>5</v>
      </c>
      <c r="D1090" s="1298"/>
      <c r="E1090" s="1352" t="s">
        <v>1810</v>
      </c>
      <c r="F1090" s="1298"/>
      <c r="G1090" s="1298"/>
      <c r="H1090" s="1298"/>
      <c r="I1090" s="1298"/>
      <c r="J1090" s="1298"/>
      <c r="K1090" s="1298"/>
      <c r="L1090" s="1298"/>
      <c r="M1090" s="1298"/>
      <c r="N1090" s="1298"/>
      <c r="O1090" s="1298"/>
      <c r="P1090" s="1298"/>
      <c r="Q1090" s="1298"/>
      <c r="R1090" s="1298"/>
      <c r="S1090" s="1298"/>
      <c r="T1090" s="1298"/>
      <c r="U1090" s="1298"/>
      <c r="V1090" s="1298"/>
      <c r="W1090" s="1298"/>
      <c r="X1090" s="1298"/>
      <c r="Y1090" s="1298"/>
      <c r="Z1090" s="1298"/>
      <c r="AA1090" s="1298"/>
      <c r="AB1090" s="1298"/>
      <c r="AC1090" s="1298"/>
      <c r="AD1090" s="1298"/>
      <c r="AE1090" s="1298"/>
      <c r="AF1090" s="1298"/>
      <c r="AG1090" s="1298"/>
      <c r="AH1090" s="1298"/>
      <c r="AI1090" s="1298"/>
      <c r="AJ1090" s="1298"/>
      <c r="AK1090" s="1298"/>
      <c r="AL1090" s="1298"/>
      <c r="AM1090" s="1298"/>
      <c r="AN1090" s="1298"/>
      <c r="AO1090" s="1298"/>
      <c r="AP1090" s="1298"/>
      <c r="AQ1090" s="1298"/>
      <c r="AR1090" s="1298"/>
      <c r="AS1090" s="14"/>
    </row>
    <row r="1091" spans="1:45" ht="12.9" customHeight="1">
      <c r="A1091" s="4"/>
      <c r="B1091" s="4"/>
      <c r="C1091" s="1437"/>
      <c r="D1091" s="1298"/>
      <c r="E1091" s="1298"/>
      <c r="F1091" s="1298"/>
      <c r="G1091" s="1298"/>
      <c r="H1091" s="1298"/>
      <c r="I1091" s="1298"/>
      <c r="J1091" s="1298"/>
      <c r="K1091" s="1298"/>
      <c r="L1091" s="1298"/>
      <c r="M1091" s="1298"/>
      <c r="N1091" s="1298"/>
      <c r="O1091" s="1298"/>
      <c r="P1091" s="1298"/>
      <c r="Q1091" s="1298"/>
      <c r="R1091" s="1298"/>
      <c r="S1091" s="1298"/>
      <c r="T1091" s="1298"/>
      <c r="U1091" s="1298"/>
      <c r="V1091" s="1298"/>
      <c r="W1091" s="1298"/>
      <c r="X1091" s="1298"/>
      <c r="Y1091" s="1298"/>
      <c r="Z1091" s="1298"/>
      <c r="AA1091" s="1298"/>
      <c r="AB1091" s="1298"/>
      <c r="AC1091" s="1298"/>
      <c r="AD1091" s="1298"/>
      <c r="AE1091" s="1298"/>
      <c r="AF1091" s="1298"/>
      <c r="AG1091" s="1298"/>
      <c r="AH1091" s="1298"/>
      <c r="AI1091" s="1298"/>
      <c r="AJ1091" s="1298"/>
      <c r="AK1091" s="1298"/>
      <c r="AL1091" s="1298"/>
      <c r="AM1091" s="1298"/>
      <c r="AN1091" s="1298"/>
      <c r="AO1091" s="1298"/>
      <c r="AP1091" s="1298"/>
      <c r="AQ1091" s="1298"/>
      <c r="AR1091" s="1298"/>
      <c r="AS1091" s="14"/>
    </row>
    <row r="1092" spans="1:45" ht="12.9" customHeight="1">
      <c r="A1092" s="4"/>
      <c r="B1092" s="4"/>
      <c r="C1092" s="1437"/>
      <c r="D1092" s="1298"/>
      <c r="E1092" s="1298"/>
      <c r="F1092" s="1298"/>
      <c r="G1092" s="1298"/>
      <c r="H1092" s="1298"/>
      <c r="I1092" s="1298"/>
      <c r="J1092" s="1298"/>
      <c r="K1092" s="1298"/>
      <c r="L1092" s="1298"/>
      <c r="M1092" s="1298"/>
      <c r="N1092" s="1298"/>
      <c r="O1092" s="1298"/>
      <c r="P1092" s="1298"/>
      <c r="Q1092" s="1298"/>
      <c r="R1092" s="1298"/>
      <c r="S1092" s="1298"/>
      <c r="T1092" s="1298"/>
      <c r="U1092" s="1298"/>
      <c r="V1092" s="1298"/>
      <c r="W1092" s="1298"/>
      <c r="X1092" s="1298"/>
      <c r="Y1092" s="1298"/>
      <c r="Z1092" s="1298"/>
      <c r="AA1092" s="1298"/>
      <c r="AB1092" s="1298"/>
      <c r="AC1092" s="1298"/>
      <c r="AD1092" s="1298"/>
      <c r="AE1092" s="1298"/>
      <c r="AF1092" s="1298"/>
      <c r="AG1092" s="1298"/>
      <c r="AH1092" s="1298"/>
      <c r="AI1092" s="1298"/>
      <c r="AJ1092" s="1298"/>
      <c r="AK1092" s="1298"/>
      <c r="AL1092" s="1298"/>
      <c r="AM1092" s="1298"/>
      <c r="AN1092" s="1298"/>
      <c r="AO1092" s="1298"/>
      <c r="AP1092" s="1298"/>
      <c r="AQ1092" s="1298"/>
      <c r="AR1092" s="1298"/>
      <c r="AS1092" s="14"/>
    </row>
    <row r="1093" spans="1:45" ht="12.9" customHeight="1">
      <c r="A1093" s="35"/>
      <c r="B1093" s="25"/>
      <c r="C1093" s="1437"/>
      <c r="D1093" s="1298"/>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 customHeight="1">
      <c r="A1094" s="1401" t="s">
        <v>935</v>
      </c>
      <c r="B1094" s="1294"/>
      <c r="C1094" s="1437">
        <v>6</v>
      </c>
      <c r="D1094" s="1298"/>
      <c r="E1094" s="1352" t="s">
        <v>1811</v>
      </c>
      <c r="F1094" s="1298"/>
      <c r="G1094" s="1298"/>
      <c r="H1094" s="1298"/>
      <c r="I1094" s="1298"/>
      <c r="J1094" s="1298"/>
      <c r="K1094" s="1298"/>
      <c r="L1094" s="1298"/>
      <c r="M1094" s="1298"/>
      <c r="N1094" s="1298"/>
      <c r="O1094" s="1298"/>
      <c r="P1094" s="1298"/>
      <c r="Q1094" s="1298"/>
      <c r="R1094" s="1298"/>
      <c r="S1094" s="1298"/>
      <c r="T1094" s="1298"/>
      <c r="U1094" s="1298"/>
      <c r="V1094" s="1298"/>
      <c r="W1094" s="1298"/>
      <c r="X1094" s="1298"/>
      <c r="Y1094" s="1298"/>
      <c r="Z1094" s="1298"/>
      <c r="AA1094" s="1298"/>
      <c r="AB1094" s="1298"/>
      <c r="AC1094" s="1298"/>
      <c r="AD1094" s="1298"/>
      <c r="AE1094" s="1298"/>
      <c r="AF1094" s="1298"/>
      <c r="AG1094" s="1298"/>
      <c r="AH1094" s="1298"/>
      <c r="AI1094" s="1298"/>
      <c r="AJ1094" s="1298"/>
      <c r="AK1094" s="1298"/>
      <c r="AL1094" s="1298"/>
      <c r="AM1094" s="1298"/>
      <c r="AN1094" s="1298"/>
      <c r="AO1094" s="1298"/>
      <c r="AP1094" s="1298"/>
      <c r="AQ1094" s="1298"/>
      <c r="AR1094" s="1298"/>
      <c r="AS1094" s="14"/>
    </row>
    <row r="1095" spans="1:45" ht="12.9" customHeight="1">
      <c r="A1095" s="1"/>
      <c r="B1095" s="1"/>
      <c r="C1095" s="1"/>
      <c r="D1095" s="1"/>
      <c r="E1095" s="1298"/>
      <c r="F1095" s="1298"/>
      <c r="G1095" s="1298"/>
      <c r="H1095" s="1298"/>
      <c r="I1095" s="1298"/>
      <c r="J1095" s="1298"/>
      <c r="K1095" s="1298"/>
      <c r="L1095" s="1298"/>
      <c r="M1095" s="1298"/>
      <c r="N1095" s="1298"/>
      <c r="O1095" s="1298"/>
      <c r="P1095" s="1298"/>
      <c r="Q1095" s="1298"/>
      <c r="R1095" s="1298"/>
      <c r="S1095" s="1298"/>
      <c r="T1095" s="1298"/>
      <c r="U1095" s="1298"/>
      <c r="V1095" s="1298"/>
      <c r="W1095" s="1298"/>
      <c r="X1095" s="1298"/>
      <c r="Y1095" s="1298"/>
      <c r="Z1095" s="1298"/>
      <c r="AA1095" s="1298"/>
      <c r="AB1095" s="1298"/>
      <c r="AC1095" s="1298"/>
      <c r="AD1095" s="1298"/>
      <c r="AE1095" s="1298"/>
      <c r="AF1095" s="1298"/>
      <c r="AG1095" s="1298"/>
      <c r="AH1095" s="1298"/>
      <c r="AI1095" s="1298"/>
      <c r="AJ1095" s="1298"/>
      <c r="AK1095" s="1298"/>
      <c r="AL1095" s="1298"/>
      <c r="AM1095" s="1298"/>
      <c r="AN1095" s="1298"/>
      <c r="AO1095" s="1298"/>
      <c r="AP1095" s="1298"/>
      <c r="AQ1095" s="1298"/>
      <c r="AR1095" s="1298"/>
      <c r="AS1095" s="14"/>
    </row>
    <row r="1096" spans="1:45" ht="12.9" customHeight="1">
      <c r="A1096" s="1"/>
      <c r="B1096" s="1"/>
      <c r="C1096" s="1437"/>
      <c r="D1096" s="1298"/>
      <c r="E1096" s="1298"/>
      <c r="F1096" s="1298"/>
      <c r="G1096" s="1298"/>
      <c r="H1096" s="1298"/>
      <c r="I1096" s="1298"/>
      <c r="J1096" s="1298"/>
      <c r="K1096" s="1298"/>
      <c r="L1096" s="1298"/>
      <c r="M1096" s="1298"/>
      <c r="N1096" s="1298"/>
      <c r="O1096" s="1298"/>
      <c r="P1096" s="1298"/>
      <c r="Q1096" s="1298"/>
      <c r="R1096" s="1298"/>
      <c r="S1096" s="1298"/>
      <c r="T1096" s="1298"/>
      <c r="U1096" s="1298"/>
      <c r="V1096" s="1298"/>
      <c r="W1096" s="1298"/>
      <c r="X1096" s="1298"/>
      <c r="Y1096" s="1298"/>
      <c r="Z1096" s="1298"/>
      <c r="AA1096" s="1298"/>
      <c r="AB1096" s="1298"/>
      <c r="AC1096" s="1298"/>
      <c r="AD1096" s="1298"/>
      <c r="AE1096" s="1298"/>
      <c r="AF1096" s="1298"/>
      <c r="AG1096" s="1298"/>
      <c r="AH1096" s="1298"/>
      <c r="AI1096" s="1298"/>
      <c r="AJ1096" s="1298"/>
      <c r="AK1096" s="1298"/>
      <c r="AL1096" s="1298"/>
      <c r="AM1096" s="1298"/>
      <c r="AN1096" s="1298"/>
      <c r="AO1096" s="1298"/>
      <c r="AP1096" s="1298"/>
      <c r="AQ1096" s="1298"/>
      <c r="AR1096" s="1298"/>
      <c r="AS1096" s="14"/>
    </row>
    <row r="1097" spans="1:45" ht="12.9" customHeight="1">
      <c r="A1097" s="35"/>
      <c r="B1097" s="25"/>
      <c r="C1097" s="1437"/>
      <c r="D1097" s="1298"/>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 customHeight="1">
      <c r="A1098" s="1401" t="s">
        <v>935</v>
      </c>
      <c r="B1098" s="1294"/>
      <c r="C1098" s="1437">
        <v>7</v>
      </c>
      <c r="D1098" s="1298"/>
      <c r="E1098" s="1352" t="s">
        <v>1812</v>
      </c>
      <c r="F1098" s="1298"/>
      <c r="G1098" s="1298"/>
      <c r="H1098" s="1298"/>
      <c r="I1098" s="1298"/>
      <c r="J1098" s="1298"/>
      <c r="K1098" s="1298"/>
      <c r="L1098" s="1298"/>
      <c r="M1098" s="1298"/>
      <c r="N1098" s="1298"/>
      <c r="O1098" s="1298"/>
      <c r="P1098" s="1298"/>
      <c r="Q1098" s="1298"/>
      <c r="R1098" s="1298"/>
      <c r="S1098" s="1298"/>
      <c r="T1098" s="1298"/>
      <c r="U1098" s="1298"/>
      <c r="V1098" s="1298"/>
      <c r="W1098" s="1298"/>
      <c r="X1098" s="1298"/>
      <c r="Y1098" s="1298"/>
      <c r="Z1098" s="1298"/>
      <c r="AA1098" s="1298"/>
      <c r="AB1098" s="1298"/>
      <c r="AC1098" s="1298"/>
      <c r="AD1098" s="1298"/>
      <c r="AE1098" s="1298"/>
      <c r="AF1098" s="1298"/>
      <c r="AG1098" s="1298"/>
      <c r="AH1098" s="1298"/>
      <c r="AI1098" s="1298"/>
      <c r="AJ1098" s="1298"/>
      <c r="AK1098" s="1298"/>
      <c r="AL1098" s="1298"/>
      <c r="AM1098" s="1298"/>
      <c r="AN1098" s="1298"/>
      <c r="AO1098" s="1298"/>
      <c r="AP1098" s="1298"/>
      <c r="AQ1098" s="1298"/>
      <c r="AR1098" s="1298"/>
      <c r="AS1098" s="14"/>
    </row>
    <row r="1099" spans="1:45" ht="12.9" customHeight="1">
      <c r="A1099" s="1"/>
      <c r="B1099" s="1"/>
      <c r="C1099" s="1437"/>
      <c r="D1099" s="1298"/>
      <c r="E1099" s="1298"/>
      <c r="F1099" s="1298"/>
      <c r="G1099" s="1298"/>
      <c r="H1099" s="1298"/>
      <c r="I1099" s="1298"/>
      <c r="J1099" s="1298"/>
      <c r="K1099" s="1298"/>
      <c r="L1099" s="1298"/>
      <c r="M1099" s="1298"/>
      <c r="N1099" s="1298"/>
      <c r="O1099" s="1298"/>
      <c r="P1099" s="1298"/>
      <c r="Q1099" s="1298"/>
      <c r="R1099" s="1298"/>
      <c r="S1099" s="1298"/>
      <c r="T1099" s="1298"/>
      <c r="U1099" s="1298"/>
      <c r="V1099" s="1298"/>
      <c r="W1099" s="1298"/>
      <c r="X1099" s="1298"/>
      <c r="Y1099" s="1298"/>
      <c r="Z1099" s="1298"/>
      <c r="AA1099" s="1298"/>
      <c r="AB1099" s="1298"/>
      <c r="AC1099" s="1298"/>
      <c r="AD1099" s="1298"/>
      <c r="AE1099" s="1298"/>
      <c r="AF1099" s="1298"/>
      <c r="AG1099" s="1298"/>
      <c r="AH1099" s="1298"/>
      <c r="AI1099" s="1298"/>
      <c r="AJ1099" s="1298"/>
      <c r="AK1099" s="1298"/>
      <c r="AL1099" s="1298"/>
      <c r="AM1099" s="1298"/>
      <c r="AN1099" s="1298"/>
      <c r="AO1099" s="1298"/>
      <c r="AP1099" s="1298"/>
      <c r="AQ1099" s="1298"/>
      <c r="AR1099" s="1298"/>
      <c r="AS1099" s="14"/>
    </row>
    <row r="1100" spans="1:45" ht="12.9" customHeight="1">
      <c r="A1100" s="1"/>
      <c r="B1100" s="1"/>
      <c r="C1100" s="1437"/>
      <c r="D1100" s="1298"/>
      <c r="E1100" s="1298"/>
      <c r="F1100" s="1298"/>
      <c r="G1100" s="1298"/>
      <c r="H1100" s="1298"/>
      <c r="I1100" s="1298"/>
      <c r="J1100" s="1298"/>
      <c r="K1100" s="1298"/>
      <c r="L1100" s="1298"/>
      <c r="M1100" s="1298"/>
      <c r="N1100" s="1298"/>
      <c r="O1100" s="1298"/>
      <c r="P1100" s="1298"/>
      <c r="Q1100" s="1298"/>
      <c r="R1100" s="1298"/>
      <c r="S1100" s="1298"/>
      <c r="T1100" s="1298"/>
      <c r="U1100" s="1298"/>
      <c r="V1100" s="1298"/>
      <c r="W1100" s="1298"/>
      <c r="X1100" s="1298"/>
      <c r="Y1100" s="1298"/>
      <c r="Z1100" s="1298"/>
      <c r="AA1100" s="1298"/>
      <c r="AB1100" s="1298"/>
      <c r="AC1100" s="1298"/>
      <c r="AD1100" s="1298"/>
      <c r="AE1100" s="1298"/>
      <c r="AF1100" s="1298"/>
      <c r="AG1100" s="1298"/>
      <c r="AH1100" s="1298"/>
      <c r="AI1100" s="1298"/>
      <c r="AJ1100" s="1298"/>
      <c r="AK1100" s="1298"/>
      <c r="AL1100" s="1298"/>
      <c r="AM1100" s="1298"/>
      <c r="AN1100" s="1298"/>
      <c r="AO1100" s="1298"/>
      <c r="AP1100" s="1298"/>
      <c r="AQ1100" s="1298"/>
      <c r="AR1100" s="1298"/>
      <c r="AS1100" s="14"/>
    </row>
    <row r="1101" spans="1:45" ht="12.9" customHeight="1">
      <c r="A1101" s="1"/>
      <c r="B1101" s="1"/>
      <c r="C1101" s="1437"/>
      <c r="D1101" s="1298"/>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 customHeight="1">
      <c r="A1102" s="35"/>
      <c r="B1102" s="25"/>
      <c r="C1102" s="1437"/>
      <c r="D1102" s="1298"/>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 customHeight="1">
      <c r="A1103" s="1401" t="s">
        <v>935</v>
      </c>
      <c r="B1103" s="1294"/>
      <c r="C1103" s="1437">
        <v>8</v>
      </c>
      <c r="D1103" s="1298"/>
      <c r="E1103" s="1352" t="s">
        <v>1813</v>
      </c>
      <c r="F1103" s="1298"/>
      <c r="G1103" s="1298"/>
      <c r="H1103" s="1298"/>
      <c r="I1103" s="1298"/>
      <c r="J1103" s="1298"/>
      <c r="K1103" s="1298"/>
      <c r="L1103" s="1298"/>
      <c r="M1103" s="1298"/>
      <c r="N1103" s="1298"/>
      <c r="O1103" s="1298"/>
      <c r="P1103" s="1298"/>
      <c r="Q1103" s="1298"/>
      <c r="R1103" s="1298"/>
      <c r="S1103" s="1298"/>
      <c r="T1103" s="1298"/>
      <c r="U1103" s="1298"/>
      <c r="V1103" s="1298"/>
      <c r="W1103" s="1298"/>
      <c r="X1103" s="1298"/>
      <c r="Y1103" s="1298"/>
      <c r="Z1103" s="1298"/>
      <c r="AA1103" s="1298"/>
      <c r="AB1103" s="1298"/>
      <c r="AC1103" s="1298"/>
      <c r="AD1103" s="1298"/>
      <c r="AE1103" s="1298"/>
      <c r="AF1103" s="1298"/>
      <c r="AG1103" s="1298"/>
      <c r="AH1103" s="1298"/>
      <c r="AI1103" s="1298"/>
      <c r="AJ1103" s="1298"/>
      <c r="AK1103" s="1298"/>
      <c r="AL1103" s="1298"/>
      <c r="AM1103" s="1298"/>
      <c r="AN1103" s="1298"/>
      <c r="AO1103" s="1298"/>
      <c r="AP1103" s="1298"/>
      <c r="AQ1103" s="1298"/>
      <c r="AR1103" s="1298"/>
    </row>
    <row r="1104" spans="1:45" ht="12.9" customHeight="1">
      <c r="A1104" s="35"/>
      <c r="B1104" s="25"/>
      <c r="C1104" s="1437"/>
      <c r="D1104" s="1298"/>
      <c r="E1104" s="1298"/>
      <c r="F1104" s="1298"/>
      <c r="G1104" s="1298"/>
      <c r="H1104" s="1298"/>
      <c r="I1104" s="1298"/>
      <c r="J1104" s="1298"/>
      <c r="K1104" s="1298"/>
      <c r="L1104" s="1298"/>
      <c r="M1104" s="1298"/>
      <c r="N1104" s="1298"/>
      <c r="O1104" s="1298"/>
      <c r="P1104" s="1298"/>
      <c r="Q1104" s="1298"/>
      <c r="R1104" s="1298"/>
      <c r="S1104" s="1298"/>
      <c r="T1104" s="1298"/>
      <c r="U1104" s="1298"/>
      <c r="V1104" s="1298"/>
      <c r="W1104" s="1298"/>
      <c r="X1104" s="1298"/>
      <c r="Y1104" s="1298"/>
      <c r="Z1104" s="1298"/>
      <c r="AA1104" s="1298"/>
      <c r="AB1104" s="1298"/>
      <c r="AC1104" s="1298"/>
      <c r="AD1104" s="1298"/>
      <c r="AE1104" s="1298"/>
      <c r="AF1104" s="1298"/>
      <c r="AG1104" s="1298"/>
      <c r="AH1104" s="1298"/>
      <c r="AI1104" s="1298"/>
      <c r="AJ1104" s="1298"/>
      <c r="AK1104" s="1298"/>
      <c r="AL1104" s="1298"/>
      <c r="AM1104" s="1298"/>
      <c r="AN1104" s="1298"/>
      <c r="AO1104" s="1298"/>
      <c r="AP1104" s="1298"/>
      <c r="AQ1104" s="1298"/>
      <c r="AR1104" s="1298"/>
    </row>
    <row r="1105" spans="1:44" ht="12.9" customHeight="1">
      <c r="A1105" s="35"/>
      <c r="B1105" s="25"/>
      <c r="C1105" s="1437"/>
      <c r="D1105" s="1298"/>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 customHeight="1">
      <c r="A1106" s="1401" t="s">
        <v>935</v>
      </c>
      <c r="B1106" s="1294"/>
      <c r="C1106" s="1372">
        <v>9</v>
      </c>
      <c r="D1106" s="1298"/>
      <c r="E1106" s="1352" t="s">
        <v>1814</v>
      </c>
      <c r="F1106" s="1298"/>
      <c r="G1106" s="1298"/>
      <c r="H1106" s="1298"/>
      <c r="I1106" s="1298"/>
      <c r="J1106" s="1298"/>
      <c r="K1106" s="1298"/>
      <c r="L1106" s="1298"/>
      <c r="M1106" s="1298"/>
      <c r="N1106" s="1298"/>
      <c r="O1106" s="1298"/>
      <c r="P1106" s="1298"/>
      <c r="Q1106" s="1298"/>
      <c r="R1106" s="1298"/>
      <c r="S1106" s="1298"/>
      <c r="T1106" s="1298"/>
      <c r="U1106" s="1298"/>
      <c r="V1106" s="1298"/>
      <c r="W1106" s="1298"/>
      <c r="X1106" s="1298"/>
      <c r="Y1106" s="1298"/>
      <c r="Z1106" s="1298"/>
      <c r="AA1106" s="1298"/>
      <c r="AB1106" s="1298"/>
      <c r="AC1106" s="1298"/>
      <c r="AD1106" s="1298"/>
      <c r="AE1106" s="1298"/>
      <c r="AF1106" s="1298"/>
      <c r="AG1106" s="1298"/>
      <c r="AH1106" s="1298"/>
      <c r="AI1106" s="1298"/>
      <c r="AJ1106" s="1298"/>
      <c r="AK1106" s="1298"/>
      <c r="AL1106" s="1298"/>
      <c r="AM1106" s="1298"/>
      <c r="AN1106" s="1298"/>
      <c r="AO1106" s="1298"/>
      <c r="AP1106" s="1298"/>
      <c r="AQ1106" s="1298"/>
      <c r="AR1106" s="1298"/>
    </row>
    <row r="1107" spans="1:44" ht="12.9" customHeight="1">
      <c r="A1107" s="1"/>
      <c r="B1107" s="1"/>
      <c r="C1107" s="1372"/>
      <c r="D1107" s="1298"/>
      <c r="E1107" s="1298"/>
      <c r="F1107" s="1298"/>
      <c r="G1107" s="1298"/>
      <c r="H1107" s="1298"/>
      <c r="I1107" s="1298"/>
      <c r="J1107" s="1298"/>
      <c r="K1107" s="1298"/>
      <c r="L1107" s="1298"/>
      <c r="M1107" s="1298"/>
      <c r="N1107" s="1298"/>
      <c r="O1107" s="1298"/>
      <c r="P1107" s="1298"/>
      <c r="Q1107" s="1298"/>
      <c r="R1107" s="1298"/>
      <c r="S1107" s="1298"/>
      <c r="T1107" s="1298"/>
      <c r="U1107" s="1298"/>
      <c r="V1107" s="1298"/>
      <c r="W1107" s="1298"/>
      <c r="X1107" s="1298"/>
      <c r="Y1107" s="1298"/>
      <c r="Z1107" s="1298"/>
      <c r="AA1107" s="1298"/>
      <c r="AB1107" s="1298"/>
      <c r="AC1107" s="1298"/>
      <c r="AD1107" s="1298"/>
      <c r="AE1107" s="1298"/>
      <c r="AF1107" s="1298"/>
      <c r="AG1107" s="1298"/>
      <c r="AH1107" s="1298"/>
      <c r="AI1107" s="1298"/>
      <c r="AJ1107" s="1298"/>
      <c r="AK1107" s="1298"/>
      <c r="AL1107" s="1298"/>
      <c r="AM1107" s="1298"/>
      <c r="AN1107" s="1298"/>
      <c r="AO1107" s="1298"/>
      <c r="AP1107" s="1298"/>
      <c r="AQ1107" s="1298"/>
      <c r="AR1107" s="1298"/>
    </row>
    <row r="1108" spans="1:44" ht="12.9" customHeight="1">
      <c r="A1108" s="35"/>
      <c r="B1108" s="25"/>
      <c r="C1108" s="1372"/>
      <c r="D1108" s="1298"/>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 customHeight="1">
      <c r="A1109" s="1401" t="s">
        <v>935</v>
      </c>
      <c r="B1109" s="1294"/>
      <c r="C1109" s="1372">
        <v>10</v>
      </c>
      <c r="D1109" s="1298"/>
      <c r="E1109" s="1346" t="s">
        <v>1815</v>
      </c>
      <c r="F1109" s="1298"/>
      <c r="G1109" s="1298"/>
      <c r="H1109" s="1298"/>
      <c r="I1109" s="1298"/>
      <c r="J1109" s="1298"/>
      <c r="K1109" s="1298"/>
      <c r="L1109" s="1298"/>
      <c r="M1109" s="1298"/>
      <c r="N1109" s="1298"/>
      <c r="O1109" s="1298"/>
      <c r="P1109" s="1298"/>
      <c r="Q1109" s="1298"/>
      <c r="R1109" s="1298"/>
      <c r="S1109" s="1298"/>
      <c r="T1109" s="1298"/>
      <c r="U1109" s="1298"/>
      <c r="V1109" s="1298"/>
      <c r="W1109" s="1298"/>
      <c r="X1109" s="1298"/>
      <c r="Y1109" s="1298"/>
      <c r="Z1109" s="1298"/>
      <c r="AA1109" s="1298"/>
      <c r="AB1109" s="1298"/>
      <c r="AC1109" s="1298"/>
      <c r="AD1109" s="1298"/>
      <c r="AE1109" s="1298"/>
      <c r="AF1109" s="1298"/>
      <c r="AG1109" s="1298"/>
      <c r="AH1109" s="1298"/>
      <c r="AI1109" s="1298"/>
      <c r="AJ1109" s="1298"/>
      <c r="AK1109" s="1298"/>
      <c r="AL1109" s="1298"/>
      <c r="AM1109" s="1298"/>
      <c r="AN1109" s="1298"/>
      <c r="AO1109" s="1298"/>
      <c r="AP1109" s="1298"/>
      <c r="AQ1109" s="1298"/>
      <c r="AR1109" s="1298"/>
    </row>
    <row r="1110" spans="1:44" ht="12.9" customHeight="1">
      <c r="A1110" s="1"/>
      <c r="B1110" s="1"/>
      <c r="C1110" s="199"/>
      <c r="D1110" s="1152"/>
      <c r="E1110" s="1298"/>
      <c r="F1110" s="1298"/>
      <c r="G1110" s="1298"/>
      <c r="H1110" s="1298"/>
      <c r="I1110" s="1298"/>
      <c r="J1110" s="1298"/>
      <c r="K1110" s="1298"/>
      <c r="L1110" s="1298"/>
      <c r="M1110" s="1298"/>
      <c r="N1110" s="1298"/>
      <c r="O1110" s="1298"/>
      <c r="P1110" s="1298"/>
      <c r="Q1110" s="1298"/>
      <c r="R1110" s="1298"/>
      <c r="S1110" s="1298"/>
      <c r="T1110" s="1298"/>
      <c r="U1110" s="1298"/>
      <c r="V1110" s="1298"/>
      <c r="W1110" s="1298"/>
      <c r="X1110" s="1298"/>
      <c r="Y1110" s="1298"/>
      <c r="Z1110" s="1298"/>
      <c r="AA1110" s="1298"/>
      <c r="AB1110" s="1298"/>
      <c r="AC1110" s="1298"/>
      <c r="AD1110" s="1298"/>
      <c r="AE1110" s="1298"/>
      <c r="AF1110" s="1298"/>
      <c r="AG1110" s="1298"/>
      <c r="AH1110" s="1298"/>
      <c r="AI1110" s="1298"/>
      <c r="AJ1110" s="1298"/>
      <c r="AK1110" s="1298"/>
      <c r="AL1110" s="1298"/>
      <c r="AM1110" s="1298"/>
      <c r="AN1110" s="1298"/>
      <c r="AO1110" s="1298"/>
      <c r="AP1110" s="1298"/>
      <c r="AQ1110" s="1298"/>
      <c r="AR1110" s="1298"/>
    </row>
    <row r="1111" spans="1:44" ht="12.9" customHeight="1">
      <c r="A1111" s="1"/>
      <c r="B1111" s="1"/>
      <c r="C1111" s="199"/>
      <c r="D1111" s="1152"/>
      <c r="E1111" s="1152"/>
      <c r="F1111" s="1152"/>
      <c r="G1111" s="1152"/>
      <c r="H1111" s="1152"/>
      <c r="I1111" s="1152"/>
      <c r="J1111" s="1152"/>
      <c r="K1111" s="1152"/>
      <c r="L1111" s="1152"/>
      <c r="M1111" s="1152"/>
      <c r="N1111" s="1152"/>
      <c r="O1111" s="1152"/>
      <c r="P1111" s="1152"/>
      <c r="Q1111" s="1152"/>
      <c r="R1111" s="1152"/>
      <c r="S1111" s="1152"/>
      <c r="T1111" s="1152"/>
      <c r="U1111" s="1152"/>
      <c r="V1111" s="1152"/>
      <c r="W1111" s="1152"/>
      <c r="X1111" s="1152"/>
      <c r="Y1111" s="1152"/>
      <c r="Z1111" s="1152"/>
      <c r="AA1111" s="1152"/>
      <c r="AB1111" s="1152"/>
      <c r="AC1111" s="1152"/>
      <c r="AD1111" s="1152"/>
      <c r="AE1111" s="1152"/>
      <c r="AF1111" s="1152"/>
      <c r="AG1111" s="1152"/>
      <c r="AH1111" s="1152"/>
      <c r="AI1111" s="1152"/>
      <c r="AJ1111" s="1152"/>
      <c r="AK1111" s="1152"/>
    </row>
    <row r="1112" spans="1:44" ht="12.9" customHeight="1">
      <c r="A1112" s="1401" t="s">
        <v>935</v>
      </c>
      <c r="B1112" s="1294"/>
      <c r="C1112" s="1372">
        <v>11</v>
      </c>
      <c r="D1112" s="1298"/>
      <c r="E1112" s="1346" t="s">
        <v>1816</v>
      </c>
      <c r="F1112" s="1298"/>
      <c r="G1112" s="1298"/>
      <c r="H1112" s="1298"/>
      <c r="I1112" s="1298"/>
      <c r="J1112" s="1298"/>
      <c r="K1112" s="1298"/>
      <c r="L1112" s="1298"/>
      <c r="M1112" s="1298"/>
      <c r="N1112" s="1298"/>
      <c r="O1112" s="1298"/>
      <c r="P1112" s="1298"/>
      <c r="Q1112" s="1298"/>
      <c r="R1112" s="1298"/>
      <c r="S1112" s="1298"/>
      <c r="T1112" s="1298"/>
      <c r="U1112" s="1298"/>
      <c r="V1112" s="1298"/>
      <c r="W1112" s="1298"/>
      <c r="X1112" s="1298"/>
      <c r="Y1112" s="1298"/>
      <c r="Z1112" s="1298"/>
      <c r="AA1112" s="1298"/>
      <c r="AB1112" s="1298"/>
      <c r="AC1112" s="1298"/>
      <c r="AD1112" s="1298"/>
      <c r="AE1112" s="1298"/>
      <c r="AF1112" s="1298"/>
      <c r="AG1112" s="1298"/>
      <c r="AH1112" s="1298"/>
      <c r="AI1112" s="1298"/>
      <c r="AJ1112" s="1298"/>
      <c r="AK1112" s="1298"/>
      <c r="AL1112" s="1298"/>
      <c r="AM1112" s="1298"/>
      <c r="AN1112" s="1298"/>
      <c r="AO1112" s="1298"/>
      <c r="AP1112" s="1298"/>
      <c r="AQ1112" s="1298"/>
      <c r="AR1112" s="1298"/>
    </row>
    <row r="1113" spans="1:44" ht="12.9" customHeight="1">
      <c r="A1113" s="1"/>
      <c r="B1113" s="1"/>
      <c r="C1113" s="199"/>
      <c r="D1113" s="1152"/>
      <c r="E1113" s="1298"/>
      <c r="F1113" s="1298"/>
      <c r="G1113" s="1298"/>
      <c r="H1113" s="1298"/>
      <c r="I1113" s="1298"/>
      <c r="J1113" s="1298"/>
      <c r="K1113" s="1298"/>
      <c r="L1113" s="1298"/>
      <c r="M1113" s="1298"/>
      <c r="N1113" s="1298"/>
      <c r="O1113" s="1298"/>
      <c r="P1113" s="1298"/>
      <c r="Q1113" s="1298"/>
      <c r="R1113" s="1298"/>
      <c r="S1113" s="1298"/>
      <c r="T1113" s="1298"/>
      <c r="U1113" s="1298"/>
      <c r="V1113" s="1298"/>
      <c r="W1113" s="1298"/>
      <c r="X1113" s="1298"/>
      <c r="Y1113" s="1298"/>
      <c r="Z1113" s="1298"/>
      <c r="AA1113" s="1298"/>
      <c r="AB1113" s="1298"/>
      <c r="AC1113" s="1298"/>
      <c r="AD1113" s="1298"/>
      <c r="AE1113" s="1298"/>
      <c r="AF1113" s="1298"/>
      <c r="AG1113" s="1298"/>
      <c r="AH1113" s="1298"/>
      <c r="AI1113" s="1298"/>
      <c r="AJ1113" s="1298"/>
      <c r="AK1113" s="1298"/>
      <c r="AL1113" s="1298"/>
      <c r="AM1113" s="1298"/>
      <c r="AN1113" s="1298"/>
      <c r="AO1113" s="1298"/>
      <c r="AP1113" s="1298"/>
      <c r="AQ1113" s="1298"/>
      <c r="AR1113" s="1298"/>
    </row>
    <row r="1114" spans="1:44" ht="12.9" customHeight="1">
      <c r="A1114" s="1"/>
      <c r="B1114" s="1"/>
      <c r="C1114" s="199"/>
      <c r="D1114" s="1152"/>
      <c r="E1114" s="1152"/>
      <c r="F1114" s="1152"/>
      <c r="G1114" s="1152"/>
      <c r="H1114" s="1152"/>
      <c r="I1114" s="1152"/>
      <c r="J1114" s="1152"/>
      <c r="K1114" s="1152"/>
      <c r="L1114" s="1152"/>
      <c r="M1114" s="1152"/>
      <c r="N1114" s="1152"/>
      <c r="O1114" s="1152"/>
      <c r="P1114" s="1152"/>
      <c r="Q1114" s="1152"/>
      <c r="R1114" s="1152"/>
      <c r="S1114" s="1152"/>
      <c r="T1114" s="1152"/>
      <c r="U1114" s="1152"/>
      <c r="V1114" s="1152"/>
      <c r="W1114" s="1152"/>
      <c r="X1114" s="1152"/>
      <c r="Y1114" s="1152"/>
      <c r="Z1114" s="1152"/>
      <c r="AA1114" s="1152"/>
      <c r="AB1114" s="1152"/>
      <c r="AC1114" s="1152"/>
      <c r="AD1114" s="1152"/>
      <c r="AE1114" s="1152"/>
      <c r="AF1114" s="1152"/>
      <c r="AG1114" s="1152"/>
      <c r="AH1114" s="1152"/>
      <c r="AI1114" s="1152"/>
      <c r="AJ1114" s="1152"/>
      <c r="AK1114" s="1152"/>
    </row>
    <row r="1115" spans="1:44" ht="12.9" hidden="1" customHeight="1">
      <c r="A1115" s="1"/>
      <c r="B1115" s="1"/>
      <c r="C1115" s="199"/>
      <c r="D1115" s="1152"/>
      <c r="E1115" s="1152"/>
      <c r="F1115" s="1152"/>
      <c r="G1115" s="1152"/>
      <c r="H1115" s="1152"/>
      <c r="I1115" s="1152"/>
      <c r="J1115" s="1152"/>
      <c r="K1115" s="1152"/>
      <c r="L1115" s="1152"/>
      <c r="M1115" s="1152"/>
      <c r="N1115" s="1152"/>
      <c r="O1115" s="1152"/>
      <c r="P1115" s="1152"/>
      <c r="Q1115" s="1152"/>
      <c r="R1115" s="1152"/>
      <c r="S1115" s="1152"/>
      <c r="T1115" s="1152"/>
      <c r="U1115" s="1152"/>
      <c r="V1115" s="1152"/>
      <c r="W1115" s="1152"/>
      <c r="X1115" s="1152"/>
      <c r="Y1115" s="1152"/>
      <c r="Z1115" s="1152"/>
      <c r="AA1115" s="1152"/>
      <c r="AB1115" s="1152"/>
      <c r="AC1115" s="1152"/>
      <c r="AD1115" s="1152"/>
      <c r="AE1115" s="1152"/>
      <c r="AF1115" s="1152"/>
      <c r="AG1115" s="1152"/>
      <c r="AH1115" s="1152"/>
      <c r="AI1115" s="1152"/>
      <c r="AJ1115" s="1152"/>
      <c r="AK1115" s="1152"/>
    </row>
    <row r="1116" spans="1:44" ht="12.9" hidden="1" customHeight="1">
      <c r="A1116" s="1"/>
      <c r="B1116" s="1"/>
      <c r="C1116" s="199"/>
      <c r="D1116" s="1152"/>
      <c r="E1116" s="1152"/>
      <c r="F1116" s="1152"/>
      <c r="G1116" s="1152"/>
      <c r="H1116" s="1152"/>
      <c r="I1116" s="1152"/>
      <c r="J1116" s="1152"/>
      <c r="K1116" s="1152"/>
      <c r="L1116" s="1152"/>
      <c r="M1116" s="1152"/>
      <c r="N1116" s="1152"/>
      <c r="O1116" s="1152"/>
      <c r="P1116" s="1152"/>
      <c r="Q1116" s="1152"/>
      <c r="R1116" s="1152"/>
      <c r="S1116" s="1152"/>
      <c r="T1116" s="1152"/>
      <c r="U1116" s="1152"/>
      <c r="V1116" s="1152"/>
      <c r="W1116" s="1152"/>
      <c r="X1116" s="1152"/>
      <c r="Y1116" s="1152"/>
      <c r="Z1116" s="1152"/>
      <c r="AA1116" s="1152"/>
      <c r="AB1116" s="1152"/>
      <c r="AC1116" s="1152"/>
      <c r="AD1116" s="1152"/>
      <c r="AE1116" s="1152"/>
      <c r="AF1116" s="1152"/>
      <c r="AG1116" s="1152"/>
      <c r="AH1116" s="1152"/>
      <c r="AI1116" s="1152"/>
      <c r="AJ1116" s="1152"/>
      <c r="AK1116" s="1152"/>
    </row>
    <row r="1117" spans="1:44" ht="12.9" hidden="1" customHeight="1">
      <c r="A1117" s="1"/>
      <c r="B1117" s="1"/>
      <c r="C1117" s="199"/>
      <c r="D1117" s="1152"/>
      <c r="E1117" s="1152"/>
      <c r="F1117" s="1152"/>
      <c r="G1117" s="1152"/>
      <c r="H1117" s="1152"/>
      <c r="I1117" s="1152"/>
      <c r="J1117" s="1152"/>
      <c r="K1117" s="1152"/>
      <c r="L1117" s="1152"/>
      <c r="M1117" s="1152"/>
      <c r="N1117" s="1152"/>
      <c r="O1117" s="1152"/>
      <c r="P1117" s="1152"/>
      <c r="Q1117" s="1152"/>
      <c r="R1117" s="1152"/>
      <c r="S1117" s="1152"/>
      <c r="T1117" s="1152"/>
      <c r="U1117" s="1152"/>
      <c r="V1117" s="1152"/>
      <c r="W1117" s="1152"/>
      <c r="X1117" s="1152"/>
      <c r="Y1117" s="1152"/>
      <c r="Z1117" s="1152"/>
      <c r="AA1117" s="1152"/>
      <c r="AB1117" s="1152"/>
      <c r="AC1117" s="1152"/>
      <c r="AD1117" s="1152"/>
      <c r="AE1117" s="1152"/>
      <c r="AF1117" s="1152"/>
      <c r="AG1117" s="1152"/>
      <c r="AH1117" s="1152"/>
      <c r="AI1117" s="1152"/>
      <c r="AJ1117" s="1152"/>
      <c r="AK1117" s="1152"/>
    </row>
    <row r="1118" spans="1:44" ht="12.9" hidden="1" customHeight="1">
      <c r="A1118" s="1"/>
      <c r="B1118" s="1"/>
      <c r="C1118" s="199"/>
      <c r="D1118" s="1152"/>
      <c r="E1118" s="1152"/>
      <c r="F1118" s="1152"/>
      <c r="G1118" s="1152"/>
      <c r="H1118" s="1152"/>
      <c r="I1118" s="1152"/>
      <c r="J1118" s="1152"/>
      <c r="K1118" s="1152"/>
      <c r="L1118" s="1152"/>
      <c r="M1118" s="1152"/>
      <c r="N1118" s="1152"/>
      <c r="O1118" s="1152"/>
      <c r="P1118" s="1152"/>
      <c r="Q1118" s="1152"/>
      <c r="R1118" s="1152"/>
      <c r="S1118" s="1152"/>
      <c r="T1118" s="1152"/>
      <c r="U1118" s="1152"/>
      <c r="V1118" s="1152"/>
      <c r="W1118" s="1152"/>
      <c r="X1118" s="1152"/>
      <c r="Y1118" s="1152"/>
      <c r="Z1118" s="1152"/>
      <c r="AA1118" s="1152"/>
      <c r="AB1118" s="1152"/>
      <c r="AC1118" s="1152"/>
      <c r="AD1118" s="1152"/>
      <c r="AE1118" s="1152"/>
      <c r="AF1118" s="1152"/>
      <c r="AG1118" s="1152"/>
      <c r="AH1118" s="1152"/>
      <c r="AI1118" s="1152"/>
      <c r="AJ1118" s="1152"/>
      <c r="AK1118" s="1152"/>
    </row>
    <row r="1119" spans="1:44" ht="12.9" hidden="1" customHeight="1">
      <c r="A1119" s="1"/>
      <c r="B1119" s="1"/>
      <c r="C1119" s="199"/>
      <c r="D1119" s="1152"/>
      <c r="E1119" s="1152"/>
      <c r="F1119" s="1152"/>
      <c r="G1119" s="1152"/>
      <c r="H1119" s="1152"/>
      <c r="I1119" s="1152"/>
      <c r="J1119" s="1152"/>
      <c r="K1119" s="1152"/>
      <c r="L1119" s="1152"/>
      <c r="M1119" s="1152"/>
      <c r="N1119" s="1152"/>
      <c r="O1119" s="1152"/>
      <c r="P1119" s="1152"/>
      <c r="Q1119" s="1152"/>
      <c r="R1119" s="1152"/>
      <c r="S1119" s="1152"/>
      <c r="T1119" s="1152"/>
      <c r="U1119" s="1152"/>
      <c r="V1119" s="1152"/>
      <c r="W1119" s="1152"/>
      <c r="X1119" s="1152"/>
      <c r="Y1119" s="1152"/>
      <c r="Z1119" s="1152"/>
      <c r="AA1119" s="1152"/>
      <c r="AB1119" s="1152"/>
      <c r="AC1119" s="1152"/>
      <c r="AD1119" s="1152"/>
      <c r="AE1119" s="1152"/>
      <c r="AF1119" s="1152"/>
      <c r="AG1119" s="1152"/>
      <c r="AH1119" s="1152"/>
      <c r="AI1119" s="1152"/>
      <c r="AJ1119" s="1152"/>
      <c r="AK1119" s="1152"/>
    </row>
    <row r="1120" spans="1:44" ht="12.9" hidden="1" customHeight="1">
      <c r="A1120" s="1"/>
      <c r="B1120" s="1"/>
      <c r="C1120" s="199"/>
      <c r="D1120" s="1152"/>
      <c r="E1120" s="1152"/>
      <c r="F1120" s="1152"/>
      <c r="G1120" s="1152"/>
      <c r="H1120" s="1152"/>
      <c r="I1120" s="1152"/>
      <c r="J1120" s="1152"/>
      <c r="K1120" s="1152"/>
      <c r="L1120" s="1152"/>
      <c r="M1120" s="1152"/>
      <c r="N1120" s="1152"/>
      <c r="O1120" s="1152"/>
      <c r="P1120" s="1152"/>
      <c r="Q1120" s="1152"/>
      <c r="R1120" s="1152"/>
      <c r="S1120" s="1152"/>
      <c r="T1120" s="1152"/>
      <c r="U1120" s="1152"/>
      <c r="V1120" s="1152"/>
      <c r="W1120" s="1152"/>
      <c r="X1120" s="1152"/>
      <c r="Y1120" s="1152"/>
      <c r="Z1120" s="1152"/>
      <c r="AA1120" s="1152"/>
      <c r="AB1120" s="1152"/>
      <c r="AC1120" s="1152"/>
      <c r="AD1120" s="1152"/>
      <c r="AE1120" s="1152"/>
      <c r="AF1120" s="1152"/>
      <c r="AG1120" s="1152"/>
      <c r="AH1120" s="1152"/>
      <c r="AI1120" s="1152"/>
      <c r="AJ1120" s="1152"/>
      <c r="AK1120" s="1152"/>
    </row>
    <row r="1121" spans="1:37" ht="12.9" hidden="1" customHeight="1">
      <c r="A1121" s="1"/>
      <c r="B1121" s="1"/>
      <c r="C1121" s="199"/>
      <c r="D1121" s="1152"/>
      <c r="E1121" s="1152"/>
      <c r="F1121" s="1152"/>
      <c r="G1121" s="1152"/>
      <c r="H1121" s="1152"/>
      <c r="I1121" s="1152"/>
      <c r="J1121" s="1152"/>
      <c r="K1121" s="1152"/>
      <c r="L1121" s="1152"/>
      <c r="M1121" s="1152"/>
      <c r="N1121" s="1152"/>
      <c r="O1121" s="1152"/>
      <c r="P1121" s="1152"/>
      <c r="Q1121" s="1152"/>
      <c r="R1121" s="1152"/>
      <c r="S1121" s="1152"/>
      <c r="T1121" s="1152"/>
      <c r="U1121" s="1152"/>
      <c r="V1121" s="1152"/>
      <c r="W1121" s="1152"/>
      <c r="X1121" s="1152"/>
      <c r="Y1121" s="1152"/>
      <c r="Z1121" s="1152"/>
      <c r="AA1121" s="1152"/>
      <c r="AB1121" s="1152"/>
      <c r="AC1121" s="1152"/>
      <c r="AD1121" s="1152"/>
      <c r="AE1121" s="1152"/>
      <c r="AF1121" s="1152"/>
      <c r="AG1121" s="1152"/>
      <c r="AH1121" s="1152"/>
      <c r="AI1121" s="1152"/>
      <c r="AJ1121" s="1152"/>
      <c r="AK1121" s="1152"/>
    </row>
    <row r="1122" spans="1:37" ht="12.9" hidden="1" customHeight="1">
      <c r="A1122" s="1"/>
      <c r="B1122" s="1"/>
      <c r="C1122" s="199"/>
      <c r="D1122" s="1152"/>
      <c r="E1122" s="1152"/>
      <c r="F1122" s="1152"/>
      <c r="G1122" s="1152"/>
      <c r="H1122" s="1152"/>
      <c r="I1122" s="1152"/>
      <c r="J1122" s="1152"/>
      <c r="K1122" s="1152"/>
      <c r="L1122" s="1152"/>
      <c r="M1122" s="1152"/>
      <c r="N1122" s="1152"/>
      <c r="O1122" s="1152"/>
      <c r="P1122" s="1152"/>
      <c r="Q1122" s="1152"/>
      <c r="R1122" s="1152"/>
      <c r="S1122" s="1152"/>
      <c r="T1122" s="1152"/>
      <c r="U1122" s="1152"/>
      <c r="V1122" s="1152"/>
      <c r="W1122" s="1152"/>
      <c r="X1122" s="1152"/>
      <c r="Y1122" s="1152"/>
      <c r="Z1122" s="1152"/>
      <c r="AA1122" s="1152"/>
      <c r="AB1122" s="1152"/>
      <c r="AC1122" s="1152"/>
      <c r="AD1122" s="1152"/>
      <c r="AE1122" s="1152"/>
      <c r="AF1122" s="1152"/>
      <c r="AG1122" s="1152"/>
      <c r="AH1122" s="1152"/>
      <c r="AI1122" s="1152"/>
      <c r="AJ1122" s="1152"/>
      <c r="AK1122" s="1152"/>
    </row>
    <row r="1123" spans="1:37" ht="12.9" hidden="1" customHeight="1">
      <c r="A1123" s="1"/>
      <c r="B1123" s="1"/>
      <c r="C1123" s="199"/>
      <c r="D1123" s="1152"/>
      <c r="E1123" s="1152"/>
      <c r="F1123" s="1152"/>
      <c r="G1123" s="1152"/>
      <c r="H1123" s="1152"/>
      <c r="I1123" s="1152"/>
      <c r="J1123" s="1152"/>
      <c r="K1123" s="1152"/>
      <c r="L1123" s="1152"/>
      <c r="M1123" s="1152"/>
      <c r="N1123" s="1152"/>
      <c r="O1123" s="1152"/>
      <c r="P1123" s="1152"/>
      <c r="Q1123" s="1152"/>
      <c r="R1123" s="1152"/>
      <c r="S1123" s="1152"/>
      <c r="T1123" s="1152"/>
      <c r="U1123" s="1152"/>
      <c r="V1123" s="1152"/>
      <c r="W1123" s="1152"/>
      <c r="X1123" s="1152"/>
      <c r="Y1123" s="1152"/>
      <c r="Z1123" s="1152"/>
      <c r="AA1123" s="1152"/>
      <c r="AB1123" s="1152"/>
      <c r="AC1123" s="1152"/>
      <c r="AD1123" s="1152"/>
      <c r="AE1123" s="1152"/>
      <c r="AF1123" s="1152"/>
      <c r="AG1123" s="1152"/>
      <c r="AH1123" s="1152"/>
      <c r="AI1123" s="1152"/>
      <c r="AJ1123" s="1152"/>
      <c r="AK1123" s="1152"/>
    </row>
    <row r="1124" spans="1:37" ht="12.9" hidden="1" customHeight="1">
      <c r="A1124" s="1"/>
      <c r="B1124" s="1"/>
      <c r="C1124" s="199"/>
      <c r="D1124" s="1152"/>
      <c r="E1124" s="1152"/>
      <c r="F1124" s="1152"/>
      <c r="G1124" s="1152"/>
      <c r="H1124" s="1152"/>
      <c r="I1124" s="1152"/>
      <c r="J1124" s="1152"/>
      <c r="K1124" s="1152"/>
      <c r="L1124" s="1152"/>
      <c r="M1124" s="1152"/>
      <c r="N1124" s="1152"/>
      <c r="O1124" s="1152"/>
      <c r="P1124" s="1152"/>
      <c r="Q1124" s="1152"/>
      <c r="R1124" s="1152"/>
      <c r="S1124" s="1152"/>
      <c r="T1124" s="1152"/>
      <c r="U1124" s="1152"/>
      <c r="V1124" s="1152"/>
      <c r="W1124" s="1152"/>
      <c r="X1124" s="1152"/>
      <c r="Y1124" s="1152"/>
      <c r="Z1124" s="1152"/>
      <c r="AA1124" s="1152"/>
      <c r="AB1124" s="1152"/>
      <c r="AC1124" s="1152"/>
      <c r="AD1124" s="1152"/>
      <c r="AE1124" s="1152"/>
      <c r="AF1124" s="1152"/>
      <c r="AG1124" s="1152"/>
      <c r="AH1124" s="1152"/>
      <c r="AI1124" s="1152"/>
      <c r="AJ1124" s="1152"/>
      <c r="AK1124" s="1152"/>
    </row>
    <row r="1125" spans="1:37" ht="12.9" hidden="1" customHeight="1">
      <c r="A1125" s="1"/>
      <c r="B1125" s="1"/>
      <c r="C1125" s="199"/>
      <c r="D1125" s="1152"/>
      <c r="E1125" s="1152"/>
      <c r="F1125" s="1152"/>
      <c r="G1125" s="1152"/>
      <c r="H1125" s="1152"/>
      <c r="I1125" s="1152"/>
      <c r="J1125" s="1152"/>
      <c r="K1125" s="1152"/>
      <c r="L1125" s="1152"/>
      <c r="M1125" s="1152"/>
      <c r="N1125" s="1152"/>
      <c r="O1125" s="1152"/>
      <c r="P1125" s="1152"/>
      <c r="Q1125" s="1152"/>
      <c r="R1125" s="1152"/>
      <c r="S1125" s="1152"/>
      <c r="T1125" s="1152"/>
      <c r="U1125" s="1152"/>
      <c r="V1125" s="1152"/>
      <c r="W1125" s="1152"/>
      <c r="X1125" s="1152"/>
      <c r="Y1125" s="1152"/>
      <c r="Z1125" s="1152"/>
      <c r="AA1125" s="1152"/>
      <c r="AB1125" s="1152"/>
      <c r="AC1125" s="1152"/>
      <c r="AD1125" s="1152"/>
      <c r="AE1125" s="1152"/>
      <c r="AF1125" s="1152"/>
      <c r="AG1125" s="1152"/>
      <c r="AH1125" s="1152"/>
      <c r="AI1125" s="1152"/>
      <c r="AJ1125" s="1152"/>
      <c r="AK1125" s="1152"/>
    </row>
    <row r="1126" spans="1:37" ht="12.9" hidden="1" customHeight="1">
      <c r="A1126" s="1"/>
      <c r="B1126" s="1"/>
      <c r="C1126" s="199"/>
      <c r="D1126" s="1152"/>
      <c r="E1126" s="1152"/>
      <c r="F1126" s="1152"/>
      <c r="G1126" s="1152"/>
      <c r="H1126" s="1152"/>
      <c r="I1126" s="1152"/>
      <c r="J1126" s="1152"/>
      <c r="K1126" s="1152"/>
      <c r="L1126" s="1152"/>
      <c r="M1126" s="1152"/>
      <c r="N1126" s="1152"/>
      <c r="O1126" s="1152"/>
      <c r="P1126" s="1152"/>
      <c r="Q1126" s="1152"/>
      <c r="R1126" s="1152"/>
      <c r="S1126" s="1152"/>
      <c r="T1126" s="1152"/>
      <c r="U1126" s="1152"/>
      <c r="V1126" s="1152"/>
      <c r="W1126" s="1152"/>
      <c r="X1126" s="1152"/>
      <c r="Y1126" s="1152"/>
      <c r="Z1126" s="1152"/>
      <c r="AA1126" s="1152"/>
      <c r="AB1126" s="1152"/>
      <c r="AC1126" s="1152"/>
      <c r="AD1126" s="1152"/>
      <c r="AE1126" s="1152"/>
      <c r="AF1126" s="1152"/>
      <c r="AG1126" s="1152"/>
      <c r="AH1126" s="1152"/>
      <c r="AI1126" s="1152"/>
      <c r="AJ1126" s="1152"/>
      <c r="AK1126" s="1152"/>
    </row>
    <row r="1127" spans="1:37" ht="12.9" hidden="1" customHeight="1">
      <c r="A1127" s="1"/>
      <c r="B1127" s="1"/>
      <c r="C1127" s="199"/>
      <c r="D1127" s="1152"/>
      <c r="E1127" s="1152"/>
      <c r="F1127" s="1152"/>
      <c r="G1127" s="1152"/>
      <c r="H1127" s="1152"/>
      <c r="I1127" s="1152"/>
      <c r="J1127" s="1152"/>
      <c r="K1127" s="1152"/>
      <c r="L1127" s="1152"/>
      <c r="M1127" s="1152"/>
      <c r="N1127" s="1152"/>
      <c r="O1127" s="1152"/>
      <c r="P1127" s="1152"/>
      <c r="Q1127" s="1152"/>
      <c r="R1127" s="1152"/>
      <c r="S1127" s="1152"/>
      <c r="T1127" s="1152"/>
      <c r="U1127" s="1152"/>
      <c r="V1127" s="1152"/>
      <c r="W1127" s="1152"/>
      <c r="X1127" s="1152"/>
      <c r="Y1127" s="1152"/>
      <c r="Z1127" s="1152"/>
      <c r="AA1127" s="1152"/>
      <c r="AB1127" s="1152"/>
      <c r="AC1127" s="1152"/>
      <c r="AD1127" s="1152"/>
      <c r="AE1127" s="1152"/>
      <c r="AF1127" s="1152"/>
      <c r="AG1127" s="1152"/>
      <c r="AH1127" s="1152"/>
      <c r="AI1127" s="1152"/>
      <c r="AJ1127" s="1152"/>
      <c r="AK1127" s="1152"/>
    </row>
    <row r="1128" spans="1:37" ht="12.9" hidden="1" customHeight="1">
      <c r="A1128" s="1"/>
      <c r="B1128" s="1"/>
      <c r="C1128" s="199"/>
      <c r="D1128" s="1152"/>
      <c r="E1128" s="1152"/>
      <c r="F1128" s="1152"/>
      <c r="G1128" s="1152"/>
      <c r="H1128" s="1152"/>
      <c r="I1128" s="1152"/>
      <c r="J1128" s="1152"/>
      <c r="K1128" s="1152"/>
      <c r="L1128" s="1152"/>
      <c r="M1128" s="1152"/>
      <c r="N1128" s="1152"/>
      <c r="O1128" s="1152"/>
      <c r="P1128" s="1152"/>
      <c r="Q1128" s="1152"/>
      <c r="R1128" s="1152"/>
      <c r="S1128" s="1152"/>
      <c r="T1128" s="1152"/>
      <c r="U1128" s="1152"/>
      <c r="V1128" s="1152"/>
      <c r="W1128" s="1152"/>
      <c r="X1128" s="1152"/>
      <c r="Y1128" s="1152"/>
      <c r="Z1128" s="1152"/>
      <c r="AA1128" s="1152"/>
      <c r="AB1128" s="1152"/>
      <c r="AC1128" s="1152"/>
      <c r="AD1128" s="1152"/>
      <c r="AE1128" s="1152"/>
      <c r="AF1128" s="1152"/>
      <c r="AG1128" s="1152"/>
      <c r="AH1128" s="1152"/>
      <c r="AI1128" s="1152"/>
      <c r="AJ1128" s="1152"/>
      <c r="AK1128" s="1152"/>
    </row>
    <row r="1129" spans="1:37" ht="12.9" hidden="1" customHeight="1">
      <c r="A1129" s="1"/>
      <c r="B1129" s="1"/>
      <c r="C1129" s="199"/>
      <c r="D1129" s="1152"/>
      <c r="E1129" s="1152"/>
      <c r="F1129" s="1152"/>
      <c r="G1129" s="1152"/>
      <c r="H1129" s="1152"/>
      <c r="I1129" s="1152"/>
      <c r="J1129" s="1152"/>
      <c r="K1129" s="1152"/>
      <c r="L1129" s="1152"/>
      <c r="M1129" s="1152"/>
      <c r="N1129" s="1152"/>
      <c r="O1129" s="1152"/>
      <c r="P1129" s="1152"/>
      <c r="Q1129" s="1152"/>
      <c r="R1129" s="1152"/>
      <c r="S1129" s="1152"/>
      <c r="T1129" s="1152"/>
      <c r="U1129" s="1152"/>
      <c r="V1129" s="1152"/>
      <c r="W1129" s="1152"/>
      <c r="X1129" s="1152"/>
      <c r="Y1129" s="1152"/>
      <c r="Z1129" s="1152"/>
      <c r="AA1129" s="1152"/>
      <c r="AB1129" s="1152"/>
      <c r="AC1129" s="1152"/>
      <c r="AD1129" s="1152"/>
      <c r="AE1129" s="1152"/>
      <c r="AF1129" s="1152"/>
      <c r="AG1129" s="1152"/>
      <c r="AH1129" s="1152"/>
      <c r="AI1129" s="1152"/>
      <c r="AJ1129" s="1152"/>
      <c r="AK1129" s="1152"/>
    </row>
    <row r="1130" spans="1:37" ht="12.9" hidden="1" customHeight="1">
      <c r="A1130" s="1"/>
      <c r="B1130" s="1"/>
      <c r="C1130" s="199"/>
      <c r="D1130" s="1152"/>
      <c r="E1130" s="1152"/>
      <c r="F1130" s="1152"/>
      <c r="G1130" s="1152"/>
      <c r="H1130" s="1152"/>
      <c r="I1130" s="1152"/>
      <c r="J1130" s="1152"/>
      <c r="K1130" s="1152"/>
      <c r="L1130" s="1152"/>
      <c r="M1130" s="1152"/>
      <c r="N1130" s="1152"/>
      <c r="O1130" s="1152"/>
      <c r="P1130" s="1152"/>
      <c r="Q1130" s="1152"/>
      <c r="R1130" s="1152"/>
      <c r="S1130" s="1152"/>
      <c r="T1130" s="1152"/>
      <c r="U1130" s="1152"/>
      <c r="V1130" s="1152"/>
      <c r="W1130" s="1152"/>
      <c r="X1130" s="1152"/>
      <c r="Y1130" s="1152"/>
      <c r="Z1130" s="1152"/>
      <c r="AA1130" s="1152"/>
      <c r="AB1130" s="1152"/>
      <c r="AC1130" s="1152"/>
      <c r="AD1130" s="1152"/>
      <c r="AE1130" s="1152"/>
      <c r="AF1130" s="1152"/>
      <c r="AG1130" s="1152"/>
      <c r="AH1130" s="1152"/>
      <c r="AI1130" s="1152"/>
      <c r="AJ1130" s="1152"/>
      <c r="AK1130" s="1152"/>
    </row>
    <row r="1131" spans="1:37" ht="12.9" hidden="1" customHeight="1">
      <c r="A1131" s="1"/>
      <c r="B1131" s="1"/>
      <c r="C1131" s="199"/>
      <c r="D1131" s="1152"/>
      <c r="E1131" s="1152"/>
      <c r="F1131" s="1152"/>
      <c r="G1131" s="1152"/>
      <c r="H1131" s="1152"/>
      <c r="I1131" s="1152"/>
      <c r="J1131" s="1152"/>
      <c r="K1131" s="1152"/>
      <c r="L1131" s="1152"/>
      <c r="M1131" s="1152"/>
      <c r="N1131" s="1152"/>
      <c r="O1131" s="1152"/>
      <c r="P1131" s="1152"/>
      <c r="Q1131" s="1152"/>
      <c r="R1131" s="1152"/>
      <c r="S1131" s="1152"/>
      <c r="T1131" s="1152"/>
      <c r="U1131" s="1152"/>
      <c r="V1131" s="1152"/>
      <c r="W1131" s="1152"/>
      <c r="X1131" s="1152"/>
      <c r="Y1131" s="1152"/>
      <c r="Z1131" s="1152"/>
      <c r="AA1131" s="1152"/>
      <c r="AB1131" s="1152"/>
      <c r="AC1131" s="1152"/>
      <c r="AD1131" s="1152"/>
      <c r="AE1131" s="1152"/>
      <c r="AF1131" s="1152"/>
      <c r="AG1131" s="1152"/>
      <c r="AH1131" s="1152"/>
      <c r="AI1131" s="1152"/>
      <c r="AJ1131" s="1152"/>
      <c r="AK1131" s="1152"/>
    </row>
    <row r="1132" spans="1:37" ht="0" hidden="1" customHeight="1">
      <c r="A1132" s="1"/>
      <c r="B1132" s="1"/>
      <c r="C1132" s="199"/>
      <c r="D1132" s="1152"/>
      <c r="E1132" s="1152"/>
      <c r="F1132" s="1152"/>
      <c r="G1132" s="1152"/>
      <c r="H1132" s="1152"/>
      <c r="I1132" s="1152"/>
      <c r="J1132" s="1152"/>
      <c r="K1132" s="1152"/>
      <c r="L1132" s="1152"/>
      <c r="M1132" s="1152"/>
      <c r="N1132" s="1152"/>
      <c r="O1132" s="1152"/>
      <c r="P1132" s="1152"/>
      <c r="Q1132" s="1152"/>
      <c r="R1132" s="1152"/>
      <c r="S1132" s="1152"/>
      <c r="T1132" s="1152"/>
      <c r="U1132" s="1152"/>
      <c r="V1132" s="1152"/>
      <c r="W1132" s="1152"/>
      <c r="X1132" s="1152"/>
      <c r="Y1132" s="1152"/>
      <c r="Z1132" s="1152"/>
      <c r="AA1132" s="1152"/>
      <c r="AB1132" s="1152"/>
      <c r="AC1132" s="1152"/>
      <c r="AD1132" s="1152"/>
      <c r="AE1132" s="1152"/>
      <c r="AF1132" s="1152"/>
      <c r="AG1132" s="1152"/>
      <c r="AH1132" s="1152"/>
      <c r="AI1132" s="1152"/>
      <c r="AJ1132" s="1152"/>
      <c r="AK1132" s="1152"/>
    </row>
    <row r="1133" spans="1:37" ht="0" hidden="1" customHeight="1">
      <c r="A1133" s="35"/>
      <c r="B1133" s="25"/>
      <c r="C1133" s="199"/>
      <c r="D1133" s="1152"/>
      <c r="E1133" s="1152"/>
      <c r="F1133" s="1152"/>
      <c r="G1133" s="1152"/>
      <c r="H1133" s="1152"/>
      <c r="I1133" s="1152"/>
      <c r="J1133" s="1152"/>
      <c r="K1133" s="1152"/>
      <c r="L1133" s="1152"/>
      <c r="M1133" s="1152"/>
      <c r="N1133" s="1152"/>
      <c r="O1133" s="1152"/>
      <c r="P1133" s="1152"/>
      <c r="Q1133" s="1152"/>
      <c r="R1133" s="1152"/>
      <c r="S1133" s="1152"/>
      <c r="T1133" s="1152"/>
      <c r="U1133" s="1152"/>
      <c r="V1133" s="1152"/>
      <c r="W1133" s="1152"/>
      <c r="X1133" s="1152"/>
      <c r="Y1133" s="1152"/>
      <c r="Z1133" s="1152"/>
      <c r="AA1133" s="1152"/>
      <c r="AB1133" s="1152"/>
      <c r="AC1133" s="1152"/>
      <c r="AD1133" s="1152"/>
      <c r="AE1133" s="1152"/>
      <c r="AF1133" s="1152"/>
      <c r="AG1133" s="1152"/>
      <c r="AH1133" s="1152"/>
      <c r="AI1133" s="1152"/>
      <c r="AJ1133" s="1152"/>
      <c r="AK1133" s="1152"/>
    </row>
    <row r="1134" spans="1:37" ht="0" hidden="1" customHeight="1">
      <c r="A1134" s="1401" t="s">
        <v>935</v>
      </c>
      <c r="B1134" s="1294"/>
      <c r="C1134" s="199">
        <v>9</v>
      </c>
      <c r="D1134" s="1299" t="s">
        <v>1817</v>
      </c>
      <c r="E1134" s="1298"/>
      <c r="F1134" s="1298"/>
      <c r="G1134" s="1298"/>
      <c r="H1134" s="1298"/>
      <c r="I1134" s="1298"/>
      <c r="J1134" s="1298"/>
      <c r="K1134" s="1298"/>
      <c r="L1134" s="1298"/>
      <c r="M1134" s="1298"/>
      <c r="N1134" s="1298"/>
      <c r="O1134" s="1298"/>
      <c r="P1134" s="1298"/>
      <c r="Q1134" s="1298"/>
      <c r="R1134" s="1298"/>
      <c r="S1134" s="1298"/>
      <c r="T1134" s="1298"/>
      <c r="U1134" s="1298"/>
      <c r="V1134" s="1298"/>
      <c r="W1134" s="1298"/>
      <c r="X1134" s="1298"/>
      <c r="Y1134" s="1298"/>
      <c r="Z1134" s="1298"/>
      <c r="AA1134" s="1298"/>
      <c r="AB1134" s="1298"/>
      <c r="AC1134" s="1298"/>
      <c r="AD1134" s="1298"/>
      <c r="AE1134" s="1298"/>
      <c r="AF1134" s="1298"/>
      <c r="AG1134" s="1298"/>
      <c r="AH1134" s="1298"/>
      <c r="AI1134" s="1298"/>
      <c r="AJ1134" s="1298"/>
      <c r="AK1134" s="1298"/>
    </row>
    <row r="1135" spans="1:37" ht="0" hidden="1" customHeight="1">
      <c r="A1135" s="35"/>
      <c r="B1135" s="25"/>
      <c r="C1135" s="199"/>
      <c r="D1135" s="1298"/>
      <c r="E1135" s="1298"/>
      <c r="F1135" s="1298"/>
      <c r="G1135" s="1298"/>
      <c r="H1135" s="1298"/>
      <c r="I1135" s="1298"/>
      <c r="J1135" s="1298"/>
      <c r="K1135" s="1298"/>
      <c r="L1135" s="1298"/>
      <c r="M1135" s="1298"/>
      <c r="N1135" s="1298"/>
      <c r="O1135" s="1298"/>
      <c r="P1135" s="1298"/>
      <c r="Q1135" s="1298"/>
      <c r="R1135" s="1298"/>
      <c r="S1135" s="1298"/>
      <c r="T1135" s="1298"/>
      <c r="U1135" s="1298"/>
      <c r="V1135" s="1298"/>
      <c r="W1135" s="1298"/>
      <c r="X1135" s="1298"/>
      <c r="Y1135" s="1298"/>
      <c r="Z1135" s="1298"/>
      <c r="AA1135" s="1298"/>
      <c r="AB1135" s="1298"/>
      <c r="AC1135" s="1298"/>
      <c r="AD1135" s="1298"/>
      <c r="AE1135" s="1298"/>
      <c r="AF1135" s="1298"/>
      <c r="AG1135" s="1298"/>
      <c r="AH1135" s="1298"/>
      <c r="AI1135" s="1298"/>
      <c r="AJ1135" s="1298"/>
      <c r="AK1135" s="1298"/>
    </row>
    <row r="1136" spans="1:37" ht="0" hidden="1" customHeight="1">
      <c r="D1136" s="1298"/>
      <c r="E1136" s="1298"/>
      <c r="F1136" s="1298"/>
      <c r="G1136" s="1298"/>
      <c r="H1136" s="1298"/>
      <c r="I1136" s="1298"/>
      <c r="J1136" s="1298"/>
      <c r="K1136" s="1298"/>
      <c r="L1136" s="1298"/>
      <c r="M1136" s="1298"/>
      <c r="N1136" s="1298"/>
      <c r="O1136" s="1298"/>
      <c r="P1136" s="1298"/>
      <c r="Q1136" s="1298"/>
      <c r="R1136" s="1298"/>
      <c r="S1136" s="1298"/>
      <c r="T1136" s="1298"/>
      <c r="U1136" s="1298"/>
      <c r="V1136" s="1298"/>
      <c r="W1136" s="1298"/>
      <c r="X1136" s="1298"/>
      <c r="Y1136" s="1298"/>
      <c r="Z1136" s="1298"/>
      <c r="AA1136" s="1298"/>
      <c r="AB1136" s="1298"/>
      <c r="AC1136" s="1298"/>
      <c r="AD1136" s="1298"/>
      <c r="AE1136" s="1298"/>
      <c r="AF1136" s="1298"/>
      <c r="AG1136" s="1298"/>
      <c r="AH1136" s="1298"/>
      <c r="AI1136" s="1298"/>
      <c r="AJ1136" s="1298"/>
      <c r="AK1136" s="1298"/>
    </row>
    <row r="1146" ht="15" hidden="1" customHeight="1"/>
    <row r="2026" ht="9.9" hidden="1" customHeight="1"/>
  </sheetData>
  <sheetProtection algorithmName="SHA-512" hashValue="FqKpsPxpB3y1KgSIoOF0HdRAgB534xvMWpqLytXOzyD7ctA+IjA9Mc+HV7ZElnR66uXC5vy0JeD80gLxTdgb3Q==" saltValue="yVCVQMoo2WP31ecsqf278g==" spinCount="100000" sheet="1" formatRows="0"/>
  <mergeCells count="3086">
    <mergeCell ref="FY759:GC759"/>
    <mergeCell ref="X732:AB732"/>
    <mergeCell ref="ER672:EV672"/>
    <mergeCell ref="G609:R609"/>
    <mergeCell ref="EJ758:EN758"/>
    <mergeCell ref="Q564:S564"/>
    <mergeCell ref="AC525:AF525"/>
    <mergeCell ref="EM647:EQ647"/>
    <mergeCell ref="CK732:CL732"/>
    <mergeCell ref="AF646:AJ646"/>
    <mergeCell ref="DU755:DY755"/>
    <mergeCell ref="N681:O681"/>
    <mergeCell ref="AH736:AJ736"/>
    <mergeCell ref="A1098:B1098"/>
    <mergeCell ref="AK642:AN642"/>
    <mergeCell ref="P324:R324"/>
    <mergeCell ref="DJ725:DN725"/>
    <mergeCell ref="EW660:FA660"/>
    <mergeCell ref="AA326:AK326"/>
    <mergeCell ref="W643:Y643"/>
    <mergeCell ref="X731:AB731"/>
    <mergeCell ref="K740:N740"/>
    <mergeCell ref="EM671:EQ671"/>
    <mergeCell ref="AK644:AN644"/>
    <mergeCell ref="EO727:ES727"/>
    <mergeCell ref="CK739:CL739"/>
    <mergeCell ref="W645:Y645"/>
    <mergeCell ref="W861:AC861"/>
    <mergeCell ref="X760:AB760"/>
    <mergeCell ref="CU804:CY804"/>
    <mergeCell ref="D1062:AI1062"/>
    <mergeCell ref="H340:M340"/>
    <mergeCell ref="U176:V176"/>
    <mergeCell ref="A100:AT103"/>
    <mergeCell ref="AI300:AK300"/>
    <mergeCell ref="Q493:AK493"/>
    <mergeCell ref="EE744:EI744"/>
    <mergeCell ref="W852:AC852"/>
    <mergeCell ref="AF636:AJ636"/>
    <mergeCell ref="EC667:EG667"/>
    <mergeCell ref="K760:N760"/>
    <mergeCell ref="U946:Z946"/>
    <mergeCell ref="EE747:EI747"/>
    <mergeCell ref="AK646:AN646"/>
    <mergeCell ref="K734:N734"/>
    <mergeCell ref="FE746:FI746"/>
    <mergeCell ref="X796:AB796"/>
    <mergeCell ref="EM675:EQ675"/>
    <mergeCell ref="EE749:EI749"/>
    <mergeCell ref="W855:AC855"/>
    <mergeCell ref="K727:N727"/>
    <mergeCell ref="CK743:CL743"/>
    <mergeCell ref="AI613:AK613"/>
    <mergeCell ref="DU742:DY742"/>
    <mergeCell ref="CI740:CJ740"/>
    <mergeCell ref="AA300:AF300"/>
    <mergeCell ref="CK726:CL726"/>
    <mergeCell ref="FE733:FI733"/>
    <mergeCell ref="H581:R581"/>
    <mergeCell ref="AH729:AJ729"/>
    <mergeCell ref="DU744:DY744"/>
    <mergeCell ref="W573:Y573"/>
    <mergeCell ref="N673:O673"/>
    <mergeCell ref="O796:S796"/>
    <mergeCell ref="AB966:AK966"/>
    <mergeCell ref="W854:AC854"/>
    <mergeCell ref="EC655:EG655"/>
    <mergeCell ref="W870:AC870"/>
    <mergeCell ref="EM646:EQ646"/>
    <mergeCell ref="Z687:AE687"/>
    <mergeCell ref="E1098:AR1100"/>
    <mergeCell ref="AG840:AJ840"/>
    <mergeCell ref="FT750:FX750"/>
    <mergeCell ref="EE742:EI742"/>
    <mergeCell ref="CM731:CN731"/>
    <mergeCell ref="CU740:CY740"/>
    <mergeCell ref="DE758:DI758"/>
    <mergeCell ref="EZ748:FD748"/>
    <mergeCell ref="EZ735:FD735"/>
    <mergeCell ref="EH665:EL665"/>
    <mergeCell ref="AA945:AF945"/>
    <mergeCell ref="AA947:AF947"/>
    <mergeCell ref="ET803:EX803"/>
    <mergeCell ref="O733:S733"/>
    <mergeCell ref="AG1054:AH1054"/>
    <mergeCell ref="X785:AB785"/>
    <mergeCell ref="EZ754:FD754"/>
    <mergeCell ref="AC796:AG796"/>
    <mergeCell ref="DJ756:DN756"/>
    <mergeCell ref="AJ1020:AQ1021"/>
    <mergeCell ref="EJ755:EN755"/>
    <mergeCell ref="EE804:EI804"/>
    <mergeCell ref="EW651:FA651"/>
    <mergeCell ref="G736:J736"/>
    <mergeCell ref="EM662:EQ662"/>
    <mergeCell ref="DE784:DI784"/>
    <mergeCell ref="C1105:D1105"/>
    <mergeCell ref="H325:M325"/>
    <mergeCell ref="AG456:AJ456"/>
    <mergeCell ref="W270:X270"/>
    <mergeCell ref="R995:AA995"/>
    <mergeCell ref="AG389:AH389"/>
    <mergeCell ref="G687:L687"/>
    <mergeCell ref="W881:AC881"/>
    <mergeCell ref="EE731:EI731"/>
    <mergeCell ref="AC739:AG739"/>
    <mergeCell ref="AO646:AS646"/>
    <mergeCell ref="AH548:AK548"/>
    <mergeCell ref="P353:AE353"/>
    <mergeCell ref="EC668:EG668"/>
    <mergeCell ref="AA598:AK598"/>
    <mergeCell ref="AH531:AK531"/>
    <mergeCell ref="AI308:AK308"/>
    <mergeCell ref="AH524:AK524"/>
    <mergeCell ref="DO734:DS734"/>
    <mergeCell ref="Z815:AE815"/>
    <mergeCell ref="AG1016:AH1016"/>
    <mergeCell ref="B727:F727"/>
    <mergeCell ref="AC795:AG795"/>
    <mergeCell ref="H656:R656"/>
    <mergeCell ref="O781:S781"/>
    <mergeCell ref="EE757:EI757"/>
    <mergeCell ref="AI348:AK348"/>
    <mergeCell ref="O783:S783"/>
    <mergeCell ref="D477:V477"/>
    <mergeCell ref="M572:P572"/>
    <mergeCell ref="H598:R598"/>
    <mergeCell ref="H302:R302"/>
    <mergeCell ref="FO759:FS759"/>
    <mergeCell ref="AC550:AF550"/>
    <mergeCell ref="FO753:FS753"/>
    <mergeCell ref="AC544:AF544"/>
    <mergeCell ref="Z693:AK693"/>
    <mergeCell ref="EW652:FA652"/>
    <mergeCell ref="CU751:CY751"/>
    <mergeCell ref="EO726:ES726"/>
    <mergeCell ref="EW646:FA646"/>
    <mergeCell ref="B762:AH763"/>
    <mergeCell ref="CI751:CJ751"/>
    <mergeCell ref="ET735:EX735"/>
    <mergeCell ref="FO752:FS752"/>
    <mergeCell ref="FJ755:FN755"/>
    <mergeCell ref="DO735:DS735"/>
    <mergeCell ref="G733:J733"/>
    <mergeCell ref="X749:AB749"/>
    <mergeCell ref="EW644:FA644"/>
    <mergeCell ref="FO754:FS754"/>
    <mergeCell ref="W646:Y646"/>
    <mergeCell ref="X747:AB747"/>
    <mergeCell ref="AI679:AK679"/>
    <mergeCell ref="AG615:AH615"/>
    <mergeCell ref="EZ739:FD739"/>
    <mergeCell ref="EZ738:FD738"/>
    <mergeCell ref="ER667:EV667"/>
    <mergeCell ref="ER647:EV647"/>
    <mergeCell ref="DZ733:ED733"/>
    <mergeCell ref="EC669:EG669"/>
    <mergeCell ref="T641:V641"/>
    <mergeCell ref="R999:AA999"/>
    <mergeCell ref="P355:AE355"/>
    <mergeCell ref="EE760:EI760"/>
    <mergeCell ref="AC802:AG802"/>
    <mergeCell ref="DE727:DI727"/>
    <mergeCell ref="AH535:AK535"/>
    <mergeCell ref="Y373:Z373"/>
    <mergeCell ref="AA309:AF309"/>
    <mergeCell ref="X730:AB730"/>
    <mergeCell ref="DE729:DI729"/>
    <mergeCell ref="DE756:DI756"/>
    <mergeCell ref="D994:Q994"/>
    <mergeCell ref="EC670:EG670"/>
    <mergeCell ref="U956:Z956"/>
    <mergeCell ref="AH533:AK533"/>
    <mergeCell ref="W883:AC883"/>
    <mergeCell ref="W571:Y571"/>
    <mergeCell ref="X798:AB798"/>
    <mergeCell ref="G663:L663"/>
    <mergeCell ref="M836:P836"/>
    <mergeCell ref="AF643:AJ643"/>
    <mergeCell ref="AF637:AJ637"/>
    <mergeCell ref="AA943:AF943"/>
    <mergeCell ref="CM760:CN760"/>
    <mergeCell ref="X756:AB756"/>
    <mergeCell ref="G621:L621"/>
    <mergeCell ref="CU756:CY756"/>
    <mergeCell ref="AG458:AJ458"/>
    <mergeCell ref="T407:AJ407"/>
    <mergeCell ref="AJ364:AK364"/>
    <mergeCell ref="J798:N798"/>
    <mergeCell ref="DO803:DS803"/>
    <mergeCell ref="AA323:AK323"/>
    <mergeCell ref="DE782:DI782"/>
    <mergeCell ref="CK728:CL728"/>
    <mergeCell ref="DU757:DY757"/>
    <mergeCell ref="EH654:EL654"/>
    <mergeCell ref="T747:W747"/>
    <mergeCell ref="DE745:DI745"/>
    <mergeCell ref="Q638:S638"/>
    <mergeCell ref="AC758:AG758"/>
    <mergeCell ref="EJ751:EN751"/>
    <mergeCell ref="T636:V636"/>
    <mergeCell ref="AA324:AF324"/>
    <mergeCell ref="AF178:AG178"/>
    <mergeCell ref="CM749:CN749"/>
    <mergeCell ref="G611:R611"/>
    <mergeCell ref="I427:K427"/>
    <mergeCell ref="P357:Z357"/>
    <mergeCell ref="Z685:AK685"/>
    <mergeCell ref="M261:AE261"/>
    <mergeCell ref="M243:T243"/>
    <mergeCell ref="Z245:AE245"/>
    <mergeCell ref="M262:T262"/>
    <mergeCell ref="Q571:S571"/>
    <mergeCell ref="DX644:EB644"/>
    <mergeCell ref="P204:U204"/>
    <mergeCell ref="AC511:AF511"/>
    <mergeCell ref="K736:N736"/>
    <mergeCell ref="AC395:AJ395"/>
    <mergeCell ref="AO635:AS635"/>
    <mergeCell ref="Q640:S640"/>
    <mergeCell ref="Q562:S562"/>
    <mergeCell ref="AI236:AJ236"/>
    <mergeCell ref="FJ742:FN742"/>
    <mergeCell ref="AC756:AG756"/>
    <mergeCell ref="AM559:AS561"/>
    <mergeCell ref="T797:W797"/>
    <mergeCell ref="AO637:AS637"/>
    <mergeCell ref="C636:L636"/>
    <mergeCell ref="AH522:AK522"/>
    <mergeCell ref="DU733:DY733"/>
    <mergeCell ref="AC646:AE646"/>
    <mergeCell ref="Z645:AB645"/>
    <mergeCell ref="G754:J754"/>
    <mergeCell ref="EW669:FA669"/>
    <mergeCell ref="G597:L597"/>
    <mergeCell ref="M835:P835"/>
    <mergeCell ref="Z669:AK669"/>
    <mergeCell ref="CG740:CH740"/>
    <mergeCell ref="AA333:AF333"/>
    <mergeCell ref="DO810:DS810"/>
    <mergeCell ref="CZ728:DD728"/>
    <mergeCell ref="CK730:CL730"/>
    <mergeCell ref="EW653:FA653"/>
    <mergeCell ref="EH648:EL648"/>
    <mergeCell ref="EH647:EL647"/>
    <mergeCell ref="AH255:AK255"/>
    <mergeCell ref="U264:W264"/>
    <mergeCell ref="AD421:AE421"/>
    <mergeCell ref="AI589:AK589"/>
    <mergeCell ref="AK632:AN634"/>
    <mergeCell ref="G618:R618"/>
    <mergeCell ref="DX669:EB669"/>
    <mergeCell ref="DZ725:ED725"/>
    <mergeCell ref="W635:Y635"/>
    <mergeCell ref="A1079:B1079"/>
    <mergeCell ref="AC785:AG785"/>
    <mergeCell ref="CZ804:DD804"/>
    <mergeCell ref="DJ795:DN795"/>
    <mergeCell ref="G734:J734"/>
    <mergeCell ref="T638:V638"/>
    <mergeCell ref="W639:Y639"/>
    <mergeCell ref="Y834:AB834"/>
    <mergeCell ref="F955:H955"/>
    <mergeCell ref="G743:J743"/>
    <mergeCell ref="DO736:DS736"/>
    <mergeCell ref="R997:AA997"/>
    <mergeCell ref="AH727:AJ727"/>
    <mergeCell ref="AA984:AG984"/>
    <mergeCell ref="AC749:AG749"/>
    <mergeCell ref="B734:F734"/>
    <mergeCell ref="M978:S978"/>
    <mergeCell ref="CG733:CH733"/>
    <mergeCell ref="D458:AF458"/>
    <mergeCell ref="V386:W386"/>
    <mergeCell ref="BD914:BF914"/>
    <mergeCell ref="F939:T939"/>
    <mergeCell ref="D1022:AE1022"/>
    <mergeCell ref="G684:R684"/>
    <mergeCell ref="CU753:CY753"/>
    <mergeCell ref="DO801:DS801"/>
    <mergeCell ref="A9:AT9"/>
    <mergeCell ref="AG404:AJ404"/>
    <mergeCell ref="X198:AT199"/>
    <mergeCell ref="BD908:BE908"/>
    <mergeCell ref="AA937:AF937"/>
    <mergeCell ref="W862:AC862"/>
    <mergeCell ref="M641:P641"/>
    <mergeCell ref="G685:R685"/>
    <mergeCell ref="O759:S759"/>
    <mergeCell ref="Y836:AB836"/>
    <mergeCell ref="G735:J735"/>
    <mergeCell ref="AC637:AE637"/>
    <mergeCell ref="Z576:AK576"/>
    <mergeCell ref="AC516:AF516"/>
    <mergeCell ref="A21:AL21"/>
    <mergeCell ref="AC635:AE635"/>
    <mergeCell ref="AC515:AF515"/>
    <mergeCell ref="Z564:AD564"/>
    <mergeCell ref="K728:N728"/>
    <mergeCell ref="CK735:CL735"/>
    <mergeCell ref="A65:AT67"/>
    <mergeCell ref="A83:AT84"/>
    <mergeCell ref="A75:AT77"/>
    <mergeCell ref="T199:U199"/>
    <mergeCell ref="P113:S113"/>
    <mergeCell ref="Y117:AK117"/>
    <mergeCell ref="AI235:AJ235"/>
    <mergeCell ref="FT760:FX760"/>
    <mergeCell ref="M564:P564"/>
    <mergeCell ref="ER671:EV671"/>
    <mergeCell ref="Q641:S641"/>
    <mergeCell ref="EZ728:FD728"/>
    <mergeCell ref="ER665:EV665"/>
    <mergeCell ref="ET727:EX727"/>
    <mergeCell ref="A11:AT11"/>
    <mergeCell ref="AK728:AO728"/>
    <mergeCell ref="FJ746:FN746"/>
    <mergeCell ref="M566:P566"/>
    <mergeCell ref="AC760:AG760"/>
    <mergeCell ref="ER673:EV673"/>
    <mergeCell ref="Y123:AK123"/>
    <mergeCell ref="ET729:EX729"/>
    <mergeCell ref="CM740:CN740"/>
    <mergeCell ref="A72:AT73"/>
    <mergeCell ref="C645:L645"/>
    <mergeCell ref="T731:W731"/>
    <mergeCell ref="EJ740:EN740"/>
    <mergeCell ref="Z670:AK670"/>
    <mergeCell ref="AH734:AJ734"/>
    <mergeCell ref="G587:R587"/>
    <mergeCell ref="EE751:EI751"/>
    <mergeCell ref="FJ733:FN733"/>
    <mergeCell ref="FT749:FX749"/>
    <mergeCell ref="G579:R579"/>
    <mergeCell ref="AC747:AG747"/>
    <mergeCell ref="AC741:AG741"/>
    <mergeCell ref="EJ760:EN760"/>
    <mergeCell ref="T645:V645"/>
    <mergeCell ref="DX673:EB673"/>
    <mergeCell ref="ET802:EX802"/>
    <mergeCell ref="T868:V868"/>
    <mergeCell ref="DU738:DY738"/>
    <mergeCell ref="AA933:AF933"/>
    <mergeCell ref="AK746:AO746"/>
    <mergeCell ref="EH664:EL664"/>
    <mergeCell ref="O761:S761"/>
    <mergeCell ref="EH649:EL649"/>
    <mergeCell ref="AA934:AF934"/>
    <mergeCell ref="AA928:AF928"/>
    <mergeCell ref="CM751:CN751"/>
    <mergeCell ref="T753:W753"/>
    <mergeCell ref="EJ747:EN747"/>
    <mergeCell ref="EM663:EQ663"/>
    <mergeCell ref="ET801:EX801"/>
    <mergeCell ref="EO805:ES805"/>
    <mergeCell ref="EJ804:EN804"/>
    <mergeCell ref="ET760:EX760"/>
    <mergeCell ref="EM658:EQ658"/>
    <mergeCell ref="EE732:EI732"/>
    <mergeCell ref="CI753:CJ753"/>
    <mergeCell ref="CP798:CT798"/>
    <mergeCell ref="EH667:EL667"/>
    <mergeCell ref="AH738:AJ738"/>
    <mergeCell ref="C903:AB903"/>
    <mergeCell ref="CG742:CH742"/>
    <mergeCell ref="DX678:EB678"/>
    <mergeCell ref="DZ734:ED734"/>
    <mergeCell ref="CP800:CT800"/>
    <mergeCell ref="EJ731:EN731"/>
    <mergeCell ref="B754:F754"/>
    <mergeCell ref="DE748:DI748"/>
    <mergeCell ref="C1112:D1112"/>
    <mergeCell ref="AM563:AS563"/>
    <mergeCell ref="EJ757:EN757"/>
    <mergeCell ref="M639:P639"/>
    <mergeCell ref="H305:R305"/>
    <mergeCell ref="CP730:CT730"/>
    <mergeCell ref="AC746:AG746"/>
    <mergeCell ref="AM565:AS565"/>
    <mergeCell ref="D1051:AE1053"/>
    <mergeCell ref="U938:Z938"/>
    <mergeCell ref="B745:F745"/>
    <mergeCell ref="DE760:DI760"/>
    <mergeCell ref="F936:T936"/>
    <mergeCell ref="CP732:CT732"/>
    <mergeCell ref="G660:R660"/>
    <mergeCell ref="AG1022:AH1022"/>
    <mergeCell ref="DO754:DS754"/>
    <mergeCell ref="EH674:EL674"/>
    <mergeCell ref="AJ998:AQ998"/>
    <mergeCell ref="CP782:CT782"/>
    <mergeCell ref="D473:V473"/>
    <mergeCell ref="M568:P568"/>
    <mergeCell ref="EH678:EL678"/>
    <mergeCell ref="F938:T938"/>
    <mergeCell ref="S386:T386"/>
    <mergeCell ref="AI605:AK605"/>
    <mergeCell ref="DJ782:DN782"/>
    <mergeCell ref="F839:L839"/>
    <mergeCell ref="A1106:B1106"/>
    <mergeCell ref="BD915:BF915"/>
    <mergeCell ref="CI736:CJ736"/>
    <mergeCell ref="G577:R577"/>
    <mergeCell ref="EW643:FA643"/>
    <mergeCell ref="T643:V643"/>
    <mergeCell ref="Z578:AK578"/>
    <mergeCell ref="EH668:EL668"/>
    <mergeCell ref="AP205:AQ205"/>
    <mergeCell ref="DZ742:ED742"/>
    <mergeCell ref="DZ736:ED736"/>
    <mergeCell ref="EW645:FA645"/>
    <mergeCell ref="W479:Y479"/>
    <mergeCell ref="J396:U396"/>
    <mergeCell ref="Q639:S639"/>
    <mergeCell ref="EZ726:FD726"/>
    <mergeCell ref="CP743:CT743"/>
    <mergeCell ref="CZ803:DD803"/>
    <mergeCell ref="DO725:DS725"/>
    <mergeCell ref="DX649:EB649"/>
    <mergeCell ref="CP796:CT796"/>
    <mergeCell ref="CG749:CH749"/>
    <mergeCell ref="C640:L640"/>
    <mergeCell ref="AA349:AF349"/>
    <mergeCell ref="Q500:AK500"/>
    <mergeCell ref="Q495:AK495"/>
    <mergeCell ref="CZ732:DD732"/>
    <mergeCell ref="B736:F736"/>
    <mergeCell ref="B729:F729"/>
    <mergeCell ref="A625:AT626"/>
    <mergeCell ref="A488:AT489"/>
    <mergeCell ref="DZ737:ED737"/>
    <mergeCell ref="Z562:AD562"/>
    <mergeCell ref="T640:V640"/>
    <mergeCell ref="EH658:EL658"/>
    <mergeCell ref="B752:F752"/>
    <mergeCell ref="FO761:FS761"/>
    <mergeCell ref="T760:W760"/>
    <mergeCell ref="DX676:EB676"/>
    <mergeCell ref="EJ744:EN744"/>
    <mergeCell ref="AC514:AF514"/>
    <mergeCell ref="A34:AT37"/>
    <mergeCell ref="AH197:AI197"/>
    <mergeCell ref="C115:K115"/>
    <mergeCell ref="FJ744:FN744"/>
    <mergeCell ref="CU122:CV122"/>
    <mergeCell ref="O156:AH156"/>
    <mergeCell ref="O161:AH161"/>
    <mergeCell ref="H316:M316"/>
    <mergeCell ref="AG403:AJ403"/>
    <mergeCell ref="AA342:AK342"/>
    <mergeCell ref="Q402:U402"/>
    <mergeCell ref="AH195:AI195"/>
    <mergeCell ref="CZ761:DD761"/>
    <mergeCell ref="C572:L572"/>
    <mergeCell ref="DJ758:DN758"/>
    <mergeCell ref="Z566:AD566"/>
    <mergeCell ref="M242:AE242"/>
    <mergeCell ref="DE741:DI741"/>
    <mergeCell ref="M244:AE244"/>
    <mergeCell ref="U245:W245"/>
    <mergeCell ref="AF268:AK268"/>
    <mergeCell ref="H304:R304"/>
    <mergeCell ref="M367:N367"/>
    <mergeCell ref="D415:AJ416"/>
    <mergeCell ref="C573:L573"/>
    <mergeCell ref="ER662:EV662"/>
    <mergeCell ref="EO758:ES758"/>
    <mergeCell ref="C1106:D1106"/>
    <mergeCell ref="K722:N725"/>
    <mergeCell ref="AC748:AG748"/>
    <mergeCell ref="CI739:CJ739"/>
    <mergeCell ref="CZ748:DD748"/>
    <mergeCell ref="U940:Z940"/>
    <mergeCell ref="AE964:AK964"/>
    <mergeCell ref="AH549:AK549"/>
    <mergeCell ref="CP759:CT759"/>
    <mergeCell ref="CP734:CT734"/>
    <mergeCell ref="AC750:AG750"/>
    <mergeCell ref="CI741:CJ741"/>
    <mergeCell ref="CZ750:DD750"/>
    <mergeCell ref="AF1036:AI1037"/>
    <mergeCell ref="AH542:AK542"/>
    <mergeCell ref="H336:R336"/>
    <mergeCell ref="AE965:AK965"/>
    <mergeCell ref="AH735:AJ735"/>
    <mergeCell ref="AI340:AK340"/>
    <mergeCell ref="AC902:AH902"/>
    <mergeCell ref="T740:W740"/>
    <mergeCell ref="I957:T957"/>
    <mergeCell ref="D456:AF456"/>
    <mergeCell ref="B632:L634"/>
    <mergeCell ref="X750:AB750"/>
    <mergeCell ref="H345:R345"/>
    <mergeCell ref="I955:T955"/>
    <mergeCell ref="AG1003:AH1003"/>
    <mergeCell ref="AF639:AJ639"/>
    <mergeCell ref="G580:L580"/>
    <mergeCell ref="AG459:AJ459"/>
    <mergeCell ref="Z910:AE910"/>
    <mergeCell ref="E1109:AR1110"/>
    <mergeCell ref="C1087:D1087"/>
    <mergeCell ref="CK759:CL759"/>
    <mergeCell ref="W869:AC869"/>
    <mergeCell ref="U927:Z927"/>
    <mergeCell ref="C1086:D1086"/>
    <mergeCell ref="O751:S751"/>
    <mergeCell ref="H321:R321"/>
    <mergeCell ref="C644:L644"/>
    <mergeCell ref="CZ737:DD737"/>
    <mergeCell ref="K743:N743"/>
    <mergeCell ref="C1088:D1088"/>
    <mergeCell ref="AC545:AF545"/>
    <mergeCell ref="O753:S753"/>
    <mergeCell ref="E427:G427"/>
    <mergeCell ref="AA936:AF936"/>
    <mergeCell ref="C571:L571"/>
    <mergeCell ref="Z565:AD565"/>
    <mergeCell ref="CI734:CJ734"/>
    <mergeCell ref="CP761:CT761"/>
    <mergeCell ref="CZ785:DD785"/>
    <mergeCell ref="AD386:AE386"/>
    <mergeCell ref="X777:AB780"/>
    <mergeCell ref="AG1025:AH1025"/>
    <mergeCell ref="CZ751:DD751"/>
    <mergeCell ref="C1089:D1089"/>
    <mergeCell ref="O760:S760"/>
    <mergeCell ref="H330:R330"/>
    <mergeCell ref="X783:AB783"/>
    <mergeCell ref="T782:W782"/>
    <mergeCell ref="M979:S979"/>
    <mergeCell ref="O744:S744"/>
    <mergeCell ref="CZ805:DD805"/>
    <mergeCell ref="AJ1000:AQ1000"/>
    <mergeCell ref="BD909:BE909"/>
    <mergeCell ref="DU729:DY729"/>
    <mergeCell ref="CU738:CY738"/>
    <mergeCell ref="U936:Z936"/>
    <mergeCell ref="U930:Z930"/>
    <mergeCell ref="CZ736:DD736"/>
    <mergeCell ref="AA930:AF930"/>
    <mergeCell ref="AK745:AO745"/>
    <mergeCell ref="G679:L679"/>
    <mergeCell ref="AK726:AO726"/>
    <mergeCell ref="AC803:AG803"/>
    <mergeCell ref="CG760:CH760"/>
    <mergeCell ref="CP736:CT736"/>
    <mergeCell ref="DJ740:DN740"/>
    <mergeCell ref="CU743:CY743"/>
    <mergeCell ref="J800:N800"/>
    <mergeCell ref="CI743:CJ743"/>
    <mergeCell ref="AH726:AJ726"/>
    <mergeCell ref="DE803:DI803"/>
    <mergeCell ref="CP805:CT805"/>
    <mergeCell ref="CU805:CY805"/>
    <mergeCell ref="CU742:CY742"/>
    <mergeCell ref="CU736:CY736"/>
    <mergeCell ref="CP783:CT783"/>
    <mergeCell ref="CU797:CY797"/>
    <mergeCell ref="O740:S740"/>
    <mergeCell ref="CK731:CL731"/>
    <mergeCell ref="CP797:CT797"/>
    <mergeCell ref="CG744:CH744"/>
    <mergeCell ref="AC745:AG745"/>
    <mergeCell ref="C1091:D1091"/>
    <mergeCell ref="H317:M317"/>
    <mergeCell ref="B726:F726"/>
    <mergeCell ref="EO751:ES751"/>
    <mergeCell ref="CK757:CL757"/>
    <mergeCell ref="CZ739:DD739"/>
    <mergeCell ref="O755:S755"/>
    <mergeCell ref="B728:F728"/>
    <mergeCell ref="CM732:CN732"/>
    <mergeCell ref="EC660:EG660"/>
    <mergeCell ref="Z609:AK609"/>
    <mergeCell ref="U958:Z958"/>
    <mergeCell ref="O757:S757"/>
    <mergeCell ref="AF1026:AI1028"/>
    <mergeCell ref="DU727:DY727"/>
    <mergeCell ref="AW927:AY927"/>
    <mergeCell ref="BD917:BE917"/>
    <mergeCell ref="CZ734:DD734"/>
    <mergeCell ref="AH525:AK525"/>
    <mergeCell ref="DJ731:DN731"/>
    <mergeCell ref="W565:Y565"/>
    <mergeCell ref="EE761:EI761"/>
    <mergeCell ref="EE736:EI736"/>
    <mergeCell ref="DE728:DI728"/>
    <mergeCell ref="U957:Z957"/>
    <mergeCell ref="D1017:AE1019"/>
    <mergeCell ref="EC656:EG656"/>
    <mergeCell ref="DJ755:DN755"/>
    <mergeCell ref="DJ727:DN727"/>
    <mergeCell ref="DU725:DY725"/>
    <mergeCell ref="AH544:AK544"/>
    <mergeCell ref="T572:V572"/>
    <mergeCell ref="Q566:S566"/>
    <mergeCell ref="C638:L638"/>
    <mergeCell ref="B738:F738"/>
    <mergeCell ref="K759:N759"/>
    <mergeCell ref="AC777:AG780"/>
    <mergeCell ref="CU754:CY754"/>
    <mergeCell ref="EE798:EI798"/>
    <mergeCell ref="EE800:EI800"/>
    <mergeCell ref="AE571:AH571"/>
    <mergeCell ref="EE738:EI738"/>
    <mergeCell ref="DZ729:ED729"/>
    <mergeCell ref="EM660:EQ660"/>
    <mergeCell ref="O747:S747"/>
    <mergeCell ref="CK744:CL744"/>
    <mergeCell ref="CG731:CH731"/>
    <mergeCell ref="Z655:AE655"/>
    <mergeCell ref="CM753:CN753"/>
    <mergeCell ref="B750:F750"/>
    <mergeCell ref="T734:W734"/>
    <mergeCell ref="AE701:AF701"/>
    <mergeCell ref="X728:AB728"/>
    <mergeCell ref="Z637:AB637"/>
    <mergeCell ref="CU785:CY785"/>
    <mergeCell ref="CM736:CN736"/>
    <mergeCell ref="EE799:EI799"/>
    <mergeCell ref="T749:W749"/>
    <mergeCell ref="Q632:S634"/>
    <mergeCell ref="Z652:AK652"/>
    <mergeCell ref="G667:R667"/>
    <mergeCell ref="AA672:AK672"/>
    <mergeCell ref="DJ745:DN745"/>
    <mergeCell ref="J782:N782"/>
    <mergeCell ref="FT761:FX761"/>
    <mergeCell ref="FY733:GC733"/>
    <mergeCell ref="FY753:GC753"/>
    <mergeCell ref="FY734:GC734"/>
    <mergeCell ref="FO745:FS745"/>
    <mergeCell ref="FY736:GC736"/>
    <mergeCell ref="FE754:FI754"/>
    <mergeCell ref="EO739:ES739"/>
    <mergeCell ref="W880:AC880"/>
    <mergeCell ref="EM656:EQ656"/>
    <mergeCell ref="AH512:AK512"/>
    <mergeCell ref="CK760:CL760"/>
    <mergeCell ref="C562:L562"/>
    <mergeCell ref="X781:AB781"/>
    <mergeCell ref="EE759:EI759"/>
    <mergeCell ref="FO755:FS755"/>
    <mergeCell ref="FT740:FX740"/>
    <mergeCell ref="FT751:FX751"/>
    <mergeCell ref="FT753:FX753"/>
    <mergeCell ref="FO725:FS725"/>
    <mergeCell ref="FY747:GC747"/>
    <mergeCell ref="FO733:FS733"/>
    <mergeCell ref="FY751:GC751"/>
    <mergeCell ref="FY750:GC750"/>
    <mergeCell ref="FT744:FX744"/>
    <mergeCell ref="DU749:DY749"/>
    <mergeCell ref="CG757:CH757"/>
    <mergeCell ref="FY743:GC743"/>
    <mergeCell ref="FY726:GC726"/>
    <mergeCell ref="FY728:GC728"/>
    <mergeCell ref="ET759:EX759"/>
    <mergeCell ref="Z662:AK662"/>
    <mergeCell ref="T200:U200"/>
    <mergeCell ref="EO756:ES756"/>
    <mergeCell ref="DE726:DI726"/>
    <mergeCell ref="FE730:FI730"/>
    <mergeCell ref="FE732:FI732"/>
    <mergeCell ref="FE742:FI742"/>
    <mergeCell ref="G759:J759"/>
    <mergeCell ref="DZ735:ED735"/>
    <mergeCell ref="C642:L642"/>
    <mergeCell ref="AK640:AN640"/>
    <mergeCell ref="M640:P640"/>
    <mergeCell ref="DE759:DI759"/>
    <mergeCell ref="G612:R612"/>
    <mergeCell ref="EH656:EL656"/>
    <mergeCell ref="G675:R675"/>
    <mergeCell ref="M635:P635"/>
    <mergeCell ref="FE739:FI739"/>
    <mergeCell ref="EH657:EL657"/>
    <mergeCell ref="CI754:CJ754"/>
    <mergeCell ref="T741:W741"/>
    <mergeCell ref="AE703:AI703"/>
    <mergeCell ref="DU758:DY758"/>
    <mergeCell ref="CI755:CJ755"/>
    <mergeCell ref="FE731:FI731"/>
    <mergeCell ref="FE735:FI735"/>
    <mergeCell ref="DO729:DS729"/>
    <mergeCell ref="AH742:AJ742"/>
    <mergeCell ref="DE731:DI731"/>
    <mergeCell ref="EJ742:EN742"/>
    <mergeCell ref="CG747:CH747"/>
    <mergeCell ref="ET758:EX758"/>
    <mergeCell ref="CG751:CH751"/>
    <mergeCell ref="FY730:GC730"/>
    <mergeCell ref="EO755:ES755"/>
    <mergeCell ref="M27:Q27"/>
    <mergeCell ref="FY749:GC749"/>
    <mergeCell ref="CU725:CY725"/>
    <mergeCell ref="AA332:AF332"/>
    <mergeCell ref="BG985:BL985"/>
    <mergeCell ref="Q636:S636"/>
    <mergeCell ref="FY742:GC742"/>
    <mergeCell ref="A231:AT232"/>
    <mergeCell ref="M271:AE271"/>
    <mergeCell ref="M246:AE246"/>
    <mergeCell ref="AG454:AJ454"/>
    <mergeCell ref="FY744:GC744"/>
    <mergeCell ref="P332:R332"/>
    <mergeCell ref="T727:W727"/>
    <mergeCell ref="M273:AE273"/>
    <mergeCell ref="M248:AE248"/>
    <mergeCell ref="FE752:FI752"/>
    <mergeCell ref="FO743:FS743"/>
    <mergeCell ref="AH730:AJ730"/>
    <mergeCell ref="J799:N799"/>
    <mergeCell ref="DE801:DI801"/>
    <mergeCell ref="EM648:EQ648"/>
    <mergeCell ref="N191:AE192"/>
    <mergeCell ref="FT733:FX733"/>
    <mergeCell ref="G757:J757"/>
    <mergeCell ref="X743:AB743"/>
    <mergeCell ref="K735:N735"/>
    <mergeCell ref="J803:N803"/>
    <mergeCell ref="DE805:DI805"/>
    <mergeCell ref="V226:W226"/>
    <mergeCell ref="FY760:GC760"/>
    <mergeCell ref="H16:AJ16"/>
    <mergeCell ref="CU800:CY800"/>
    <mergeCell ref="EE734:EI734"/>
    <mergeCell ref="D478:V478"/>
    <mergeCell ref="A1070:AQ1070"/>
    <mergeCell ref="AK727:AO727"/>
    <mergeCell ref="T193:AI193"/>
    <mergeCell ref="EC671:EG671"/>
    <mergeCell ref="DU745:DY745"/>
    <mergeCell ref="AC892:AH892"/>
    <mergeCell ref="O158:R158"/>
    <mergeCell ref="M274:T274"/>
    <mergeCell ref="DZ802:ED802"/>
    <mergeCell ref="AH509:AK509"/>
    <mergeCell ref="CM739:CN739"/>
    <mergeCell ref="AK729:AO729"/>
    <mergeCell ref="DO752:DS752"/>
    <mergeCell ref="AH536:AK536"/>
    <mergeCell ref="EE735:EI735"/>
    <mergeCell ref="CM741:CN741"/>
    <mergeCell ref="E187:AE188"/>
    <mergeCell ref="O799:S799"/>
    <mergeCell ref="DE732:DI732"/>
    <mergeCell ref="B730:F730"/>
    <mergeCell ref="CM734:CN734"/>
    <mergeCell ref="AA590:AK590"/>
    <mergeCell ref="CI759:CJ759"/>
    <mergeCell ref="W563:Y563"/>
    <mergeCell ref="M883:V883"/>
    <mergeCell ref="O784:S784"/>
    <mergeCell ref="B732:F732"/>
    <mergeCell ref="M241:AK241"/>
    <mergeCell ref="EM676:EQ676"/>
    <mergeCell ref="I401:N401"/>
    <mergeCell ref="B509:H510"/>
    <mergeCell ref="AI316:AK316"/>
    <mergeCell ref="EW667:FA667"/>
    <mergeCell ref="EO741:ES741"/>
    <mergeCell ref="CZ733:DD733"/>
    <mergeCell ref="CK753:CL753"/>
    <mergeCell ref="AA656:AK656"/>
    <mergeCell ref="D997:Q997"/>
    <mergeCell ref="H300:M300"/>
    <mergeCell ref="EM678:EQ678"/>
    <mergeCell ref="AB926:AE926"/>
    <mergeCell ref="N615:O615"/>
    <mergeCell ref="EO742:ES742"/>
    <mergeCell ref="AG689:AH689"/>
    <mergeCell ref="EO736:ES736"/>
    <mergeCell ref="AC729:AG729"/>
    <mergeCell ref="DX674:EB674"/>
    <mergeCell ref="EZ727:FD727"/>
    <mergeCell ref="EZ758:FD758"/>
    <mergeCell ref="DO756:DS756"/>
    <mergeCell ref="DO750:DS750"/>
    <mergeCell ref="DE796:DI796"/>
    <mergeCell ref="T408:AJ408"/>
    <mergeCell ref="K412:AJ412"/>
    <mergeCell ref="EO804:ES804"/>
    <mergeCell ref="AH520:AK520"/>
    <mergeCell ref="CK747:CL747"/>
    <mergeCell ref="AE559:AH561"/>
    <mergeCell ref="AK645:AN645"/>
    <mergeCell ref="T564:V564"/>
    <mergeCell ref="C1108:D1108"/>
    <mergeCell ref="AG673:AH673"/>
    <mergeCell ref="Y287:AD287"/>
    <mergeCell ref="X797:AB797"/>
    <mergeCell ref="D1009:AE1009"/>
    <mergeCell ref="AJ1058:AQ1061"/>
    <mergeCell ref="AA329:AK329"/>
    <mergeCell ref="CK749:CL749"/>
    <mergeCell ref="W714:AK714"/>
    <mergeCell ref="D1031:AE1032"/>
    <mergeCell ref="AA306:AK306"/>
    <mergeCell ref="AE968:AK968"/>
    <mergeCell ref="AJ1045:AQ1049"/>
    <mergeCell ref="D1020:AE1020"/>
    <mergeCell ref="B1001:AI1001"/>
    <mergeCell ref="D1041:AE1041"/>
    <mergeCell ref="D1054:AE1054"/>
    <mergeCell ref="D1011:AE1015"/>
    <mergeCell ref="AC800:AG800"/>
    <mergeCell ref="CK751:CL751"/>
    <mergeCell ref="AD767:AF767"/>
    <mergeCell ref="AG599:AH599"/>
    <mergeCell ref="G593:R593"/>
    <mergeCell ref="CI752:CJ752"/>
    <mergeCell ref="AA606:AK606"/>
    <mergeCell ref="H348:M348"/>
    <mergeCell ref="P605:R605"/>
    <mergeCell ref="O797:S797"/>
    <mergeCell ref="B511:H516"/>
    <mergeCell ref="Q501:AK501"/>
    <mergeCell ref="E715:AK715"/>
    <mergeCell ref="P205:U205"/>
    <mergeCell ref="EJ796:EN796"/>
    <mergeCell ref="W481:Y481"/>
    <mergeCell ref="DE743:DI743"/>
    <mergeCell ref="EM657:EQ657"/>
    <mergeCell ref="V228:W228"/>
    <mergeCell ref="DU798:DY798"/>
    <mergeCell ref="M255:AE255"/>
    <mergeCell ref="AH754:AJ754"/>
    <mergeCell ref="T804:W804"/>
    <mergeCell ref="DO802:DS802"/>
    <mergeCell ref="U928:Z928"/>
    <mergeCell ref="M884:V884"/>
    <mergeCell ref="DJ728:DN728"/>
    <mergeCell ref="AC797:AG797"/>
    <mergeCell ref="AC528:AF528"/>
    <mergeCell ref="H301:M301"/>
    <mergeCell ref="EC676:EG676"/>
    <mergeCell ref="AH514:AK514"/>
    <mergeCell ref="CU798:CY798"/>
    <mergeCell ref="AC507:AK507"/>
    <mergeCell ref="G695:L695"/>
    <mergeCell ref="O731:S731"/>
    <mergeCell ref="T635:V635"/>
    <mergeCell ref="AM573:AS573"/>
    <mergeCell ref="P824:Y824"/>
    <mergeCell ref="U836:X836"/>
    <mergeCell ref="DO749:DS749"/>
    <mergeCell ref="DO748:DS748"/>
    <mergeCell ref="Z683:AK683"/>
    <mergeCell ref="AA320:AK320"/>
    <mergeCell ref="D211:M211"/>
    <mergeCell ref="D1134:AK1136"/>
    <mergeCell ref="G671:L671"/>
    <mergeCell ref="W865:AC865"/>
    <mergeCell ref="AO638:AS638"/>
    <mergeCell ref="M569:P569"/>
    <mergeCell ref="AF645:AJ645"/>
    <mergeCell ref="C765:AM766"/>
    <mergeCell ref="ET750:EX750"/>
    <mergeCell ref="CM761:CN761"/>
    <mergeCell ref="DJ726:DN726"/>
    <mergeCell ref="EJ761:EN761"/>
    <mergeCell ref="EE801:EI801"/>
    <mergeCell ref="ET804:EX804"/>
    <mergeCell ref="DU756:DY756"/>
    <mergeCell ref="EH670:EL670"/>
    <mergeCell ref="CP801:CT801"/>
    <mergeCell ref="DZ761:ED761"/>
    <mergeCell ref="Z816:AE816"/>
    <mergeCell ref="Q572:S572"/>
    <mergeCell ref="CM730:CN730"/>
    <mergeCell ref="DE804:DI804"/>
    <mergeCell ref="CI758:CJ758"/>
    <mergeCell ref="AK758:AO758"/>
    <mergeCell ref="CP756:CT756"/>
    <mergeCell ref="O742:S742"/>
    <mergeCell ref="AK730:AO730"/>
    <mergeCell ref="O764:R764"/>
    <mergeCell ref="CU744:CY744"/>
    <mergeCell ref="B749:F749"/>
    <mergeCell ref="CP755:CT755"/>
    <mergeCell ref="G603:R603"/>
    <mergeCell ref="T571:V571"/>
    <mergeCell ref="AB216:AL216"/>
    <mergeCell ref="Q399:U399"/>
    <mergeCell ref="S422:T422"/>
    <mergeCell ref="EH666:EL666"/>
    <mergeCell ref="AC636:AE636"/>
    <mergeCell ref="C1099:D1099"/>
    <mergeCell ref="E1090:AR1092"/>
    <mergeCell ref="AG1020:AH1020"/>
    <mergeCell ref="D1038:AE1038"/>
    <mergeCell ref="T287:V287"/>
    <mergeCell ref="V285:W285"/>
    <mergeCell ref="ER656:EV656"/>
    <mergeCell ref="CP799:CT799"/>
    <mergeCell ref="EJ730:EN730"/>
    <mergeCell ref="AH527:AK527"/>
    <mergeCell ref="DO737:DS737"/>
    <mergeCell ref="FJ729:FN729"/>
    <mergeCell ref="G619:R619"/>
    <mergeCell ref="N379:Q379"/>
    <mergeCell ref="DJ805:DN805"/>
    <mergeCell ref="Z621:AE621"/>
    <mergeCell ref="FJ758:FN758"/>
    <mergeCell ref="Z635:AB635"/>
    <mergeCell ref="DE761:DI761"/>
    <mergeCell ref="H622:R622"/>
    <mergeCell ref="AC731:AG731"/>
    <mergeCell ref="EJ798:EN798"/>
    <mergeCell ref="CU757:CY757"/>
    <mergeCell ref="EM659:EQ659"/>
    <mergeCell ref="G761:J761"/>
    <mergeCell ref="EJ734:EN734"/>
    <mergeCell ref="EJ759:EN759"/>
    <mergeCell ref="A8:AT8"/>
    <mergeCell ref="V224:W224"/>
    <mergeCell ref="AG831:AJ832"/>
    <mergeCell ref="Z617:AK617"/>
    <mergeCell ref="EJ800:EN800"/>
    <mergeCell ref="FT734:FX734"/>
    <mergeCell ref="AO643:AS643"/>
    <mergeCell ref="A10:AT10"/>
    <mergeCell ref="FJ745:FN745"/>
    <mergeCell ref="FT736:FX736"/>
    <mergeCell ref="FT735:FX735"/>
    <mergeCell ref="AC761:AG761"/>
    <mergeCell ref="AH543:AK543"/>
    <mergeCell ref="D480:V480"/>
    <mergeCell ref="DX659:EB659"/>
    <mergeCell ref="D1008:AE1008"/>
    <mergeCell ref="CP781:CT781"/>
    <mergeCell ref="EZ756:FD756"/>
    <mergeCell ref="AH545:AK545"/>
    <mergeCell ref="AG607:AH607"/>
    <mergeCell ref="AK756:AO756"/>
    <mergeCell ref="DX661:EB661"/>
    <mergeCell ref="AK731:AO731"/>
    <mergeCell ref="R996:AA996"/>
    <mergeCell ref="AA949:AF949"/>
    <mergeCell ref="G659:R659"/>
    <mergeCell ref="M644:P644"/>
    <mergeCell ref="AB285:AD285"/>
    <mergeCell ref="B1002:AE1002"/>
    <mergeCell ref="D454:AF454"/>
    <mergeCell ref="AC781:AG781"/>
    <mergeCell ref="EZ742:FD742"/>
    <mergeCell ref="AD420:AE420"/>
    <mergeCell ref="R421:S421"/>
    <mergeCell ref="AE562:AH562"/>
    <mergeCell ref="Q494:AK494"/>
    <mergeCell ref="S497:AK498"/>
    <mergeCell ref="Q497:R498"/>
    <mergeCell ref="Q496:AK496"/>
    <mergeCell ref="Q499:AK499"/>
    <mergeCell ref="AC546:AF546"/>
    <mergeCell ref="O737:S737"/>
    <mergeCell ref="C1100:D1100"/>
    <mergeCell ref="DZ756:ED756"/>
    <mergeCell ref="AC532:AF532"/>
    <mergeCell ref="X722:AB725"/>
    <mergeCell ref="J1033:AE1033"/>
    <mergeCell ref="U924:Z926"/>
    <mergeCell ref="AA955:AF955"/>
    <mergeCell ref="BD911:BE911"/>
    <mergeCell ref="DO751:DS751"/>
    <mergeCell ref="Z694:AK694"/>
    <mergeCell ref="AK760:AO760"/>
    <mergeCell ref="DZ752:ED752"/>
    <mergeCell ref="N583:O583"/>
    <mergeCell ref="M642:P642"/>
    <mergeCell ref="DZ727:ED727"/>
    <mergeCell ref="CG746:CH746"/>
    <mergeCell ref="J801:N801"/>
    <mergeCell ref="D446:AF446"/>
    <mergeCell ref="O540:AA540"/>
    <mergeCell ref="D481:V481"/>
    <mergeCell ref="D459:AF459"/>
    <mergeCell ref="E429:AJ429"/>
    <mergeCell ref="AF1023:AI1024"/>
    <mergeCell ref="G661:R661"/>
    <mergeCell ref="D1046:AE1049"/>
    <mergeCell ref="O745:S745"/>
    <mergeCell ref="AO649:AS649"/>
    <mergeCell ref="EC650:EG650"/>
    <mergeCell ref="AA950:AF950"/>
    <mergeCell ref="M638:P638"/>
    <mergeCell ref="DE730:DI730"/>
    <mergeCell ref="CU810:CY810"/>
    <mergeCell ref="O537:AA537"/>
    <mergeCell ref="AF640:AJ640"/>
    <mergeCell ref="CU803:CY803"/>
    <mergeCell ref="CU796:CY796"/>
    <mergeCell ref="K757:N757"/>
    <mergeCell ref="CZ753:DD753"/>
    <mergeCell ref="DZ758:ED758"/>
    <mergeCell ref="AM564:AS564"/>
    <mergeCell ref="W644:Y644"/>
    <mergeCell ref="M982:S982"/>
    <mergeCell ref="DJ761:DN761"/>
    <mergeCell ref="U950:Z950"/>
    <mergeCell ref="CZ752:DD752"/>
    <mergeCell ref="DJ743:DN743"/>
    <mergeCell ref="DU737:DY737"/>
    <mergeCell ref="DE747:DI747"/>
    <mergeCell ref="DU730:DY730"/>
    <mergeCell ref="EE746:EI746"/>
    <mergeCell ref="DO738:DS738"/>
    <mergeCell ref="DE749:DI749"/>
    <mergeCell ref="DU732:DY732"/>
    <mergeCell ref="T791:W794"/>
    <mergeCell ref="F941:T941"/>
    <mergeCell ref="O159:T159"/>
    <mergeCell ref="D214:Z214"/>
    <mergeCell ref="B737:F737"/>
    <mergeCell ref="Z618:AK618"/>
    <mergeCell ref="H326:R326"/>
    <mergeCell ref="DU799:DY799"/>
    <mergeCell ref="ET737:EX737"/>
    <mergeCell ref="CZ798:DD798"/>
    <mergeCell ref="EO802:ES802"/>
    <mergeCell ref="EM650:EQ650"/>
    <mergeCell ref="EE796:EI796"/>
    <mergeCell ref="DJ729:DN729"/>
    <mergeCell ref="CZ740:DD740"/>
    <mergeCell ref="H312:R312"/>
    <mergeCell ref="T722:W725"/>
    <mergeCell ref="M632:P634"/>
    <mergeCell ref="DJ730:DN730"/>
    <mergeCell ref="T781:W781"/>
    <mergeCell ref="M503:P503"/>
    <mergeCell ref="O743:S743"/>
    <mergeCell ref="H333:M333"/>
    <mergeCell ref="X741:AB741"/>
    <mergeCell ref="T802:W802"/>
    <mergeCell ref="AC799:AG799"/>
    <mergeCell ref="B744:F744"/>
    <mergeCell ref="H349:M349"/>
    <mergeCell ref="X176:Y176"/>
    <mergeCell ref="W863:AC863"/>
    <mergeCell ref="H307:R307"/>
    <mergeCell ref="N623:O623"/>
    <mergeCell ref="D476:V476"/>
    <mergeCell ref="P308:R308"/>
    <mergeCell ref="E377:AH378"/>
    <mergeCell ref="N382:AF383"/>
    <mergeCell ref="AA301:AF301"/>
    <mergeCell ref="CU730:CY730"/>
    <mergeCell ref="C901:AB901"/>
    <mergeCell ref="AA614:AK614"/>
    <mergeCell ref="AI178:AK178"/>
    <mergeCell ref="CP746:CT746"/>
    <mergeCell ref="G594:R594"/>
    <mergeCell ref="T562:V562"/>
    <mergeCell ref="U834:X834"/>
    <mergeCell ref="AC517:AF517"/>
    <mergeCell ref="AH741:AJ741"/>
    <mergeCell ref="Z579:AK579"/>
    <mergeCell ref="I185:AE185"/>
    <mergeCell ref="K742:N742"/>
    <mergeCell ref="CP803:CT803"/>
    <mergeCell ref="X804:AB804"/>
    <mergeCell ref="W641:Y641"/>
    <mergeCell ref="K744:N744"/>
    <mergeCell ref="Q833:T833"/>
    <mergeCell ref="H342:R342"/>
    <mergeCell ref="AC901:AH901"/>
    <mergeCell ref="M839:P839"/>
    <mergeCell ref="M833:P833"/>
    <mergeCell ref="AE704:AI704"/>
    <mergeCell ref="AG386:AH386"/>
    <mergeCell ref="O722:S725"/>
    <mergeCell ref="N380:Q380"/>
    <mergeCell ref="AC536:AF536"/>
    <mergeCell ref="AH737:AJ737"/>
    <mergeCell ref="A1090:B1090"/>
    <mergeCell ref="A1084:B1084"/>
    <mergeCell ref="AC643:AE643"/>
    <mergeCell ref="AA312:AK312"/>
    <mergeCell ref="H328:R328"/>
    <mergeCell ref="CI756:CJ756"/>
    <mergeCell ref="FO727:FS727"/>
    <mergeCell ref="ET734:EX734"/>
    <mergeCell ref="M965:S965"/>
    <mergeCell ref="Z823:AE823"/>
    <mergeCell ref="DX653:EB653"/>
    <mergeCell ref="G737:J737"/>
    <mergeCell ref="X753:AB753"/>
    <mergeCell ref="Z817:AE817"/>
    <mergeCell ref="DE785:DI785"/>
    <mergeCell ref="W473:Y473"/>
    <mergeCell ref="AH746:AJ746"/>
    <mergeCell ref="M573:P573"/>
    <mergeCell ref="C1078:D1078"/>
    <mergeCell ref="T783:W783"/>
    <mergeCell ref="M980:S980"/>
    <mergeCell ref="DZ755:ED755"/>
    <mergeCell ref="AM566:AS566"/>
    <mergeCell ref="P679:R679"/>
    <mergeCell ref="AC530:AF530"/>
    <mergeCell ref="DZ757:ED757"/>
    <mergeCell ref="CP733:CT733"/>
    <mergeCell ref="J712:X712"/>
    <mergeCell ref="K755:N755"/>
    <mergeCell ref="U959:Z959"/>
    <mergeCell ref="DU795:DY795"/>
    <mergeCell ref="DO804:DS804"/>
    <mergeCell ref="C1109:D1109"/>
    <mergeCell ref="AA302:AK302"/>
    <mergeCell ref="AH550:AK550"/>
    <mergeCell ref="F948:T948"/>
    <mergeCell ref="CI742:CJ742"/>
    <mergeCell ref="W885:AC885"/>
    <mergeCell ref="AC903:AH903"/>
    <mergeCell ref="D205:M205"/>
    <mergeCell ref="AE967:AK967"/>
    <mergeCell ref="R998:AA998"/>
    <mergeCell ref="CI744:CJ744"/>
    <mergeCell ref="U945:Z945"/>
    <mergeCell ref="AG388:AH388"/>
    <mergeCell ref="I419:AE419"/>
    <mergeCell ref="P433:Q433"/>
    <mergeCell ref="O798:S798"/>
    <mergeCell ref="AA299:AK299"/>
    <mergeCell ref="AI663:AK663"/>
    <mergeCell ref="X740:AB740"/>
    <mergeCell ref="AB995:AI995"/>
    <mergeCell ref="G586:R586"/>
    <mergeCell ref="AA328:AK328"/>
    <mergeCell ref="D1021:AE1021"/>
    <mergeCell ref="U933:Z933"/>
    <mergeCell ref="T751:W751"/>
    <mergeCell ref="AG1045:AH1045"/>
    <mergeCell ref="AA274:AK274"/>
    <mergeCell ref="A919:AT920"/>
    <mergeCell ref="BD910:BE910"/>
    <mergeCell ref="W566:Y566"/>
    <mergeCell ref="AF641:AJ641"/>
    <mergeCell ref="AH528:AK528"/>
    <mergeCell ref="Q33:AT33"/>
    <mergeCell ref="DO805:DS805"/>
    <mergeCell ref="FO758:FS758"/>
    <mergeCell ref="J802:N802"/>
    <mergeCell ref="M887:V887"/>
    <mergeCell ref="DZ746:ED746"/>
    <mergeCell ref="E1112:AR1113"/>
    <mergeCell ref="AA978:AG978"/>
    <mergeCell ref="W872:AC872"/>
    <mergeCell ref="AJ994:AQ994"/>
    <mergeCell ref="W254:X254"/>
    <mergeCell ref="P695:R695"/>
    <mergeCell ref="D1035:AE1037"/>
    <mergeCell ref="O729:S729"/>
    <mergeCell ref="EC659:EG659"/>
    <mergeCell ref="EC653:EG653"/>
    <mergeCell ref="CU781:CY781"/>
    <mergeCell ref="U932:Z932"/>
    <mergeCell ref="W874:AC874"/>
    <mergeCell ref="K746:N746"/>
    <mergeCell ref="W562:Y562"/>
    <mergeCell ref="FE756:FI756"/>
    <mergeCell ref="Z572:AD572"/>
    <mergeCell ref="DU726:DY726"/>
    <mergeCell ref="EC661:EG661"/>
    <mergeCell ref="U947:Z947"/>
    <mergeCell ref="W867:AC867"/>
    <mergeCell ref="CU783:CY783"/>
    <mergeCell ref="DU728:DY728"/>
    <mergeCell ref="M869:V869"/>
    <mergeCell ref="C1107:D1107"/>
    <mergeCell ref="U942:Z942"/>
    <mergeCell ref="A92:AT98"/>
    <mergeCell ref="CM754:CN754"/>
    <mergeCell ref="O983:P983"/>
    <mergeCell ref="T728:W728"/>
    <mergeCell ref="FE728:FI728"/>
    <mergeCell ref="DU750:DY750"/>
    <mergeCell ref="EO798:ES798"/>
    <mergeCell ref="AG1058:AH1058"/>
    <mergeCell ref="CZ757:DD757"/>
    <mergeCell ref="Z684:AK684"/>
    <mergeCell ref="X742:AB742"/>
    <mergeCell ref="FO744:FS744"/>
    <mergeCell ref="X736:AB736"/>
    <mergeCell ref="D1045:AE1045"/>
    <mergeCell ref="X279:AC279"/>
    <mergeCell ref="T759:W759"/>
    <mergeCell ref="EE803:EI803"/>
    <mergeCell ref="EO800:ES800"/>
    <mergeCell ref="D1058:AE1058"/>
    <mergeCell ref="U929:Z929"/>
    <mergeCell ref="AG833:AJ833"/>
    <mergeCell ref="M969:S969"/>
    <mergeCell ref="FE751:FI751"/>
    <mergeCell ref="U948:Z948"/>
    <mergeCell ref="EC672:EG672"/>
    <mergeCell ref="DU746:DY746"/>
    <mergeCell ref="EO796:ES796"/>
    <mergeCell ref="O800:S800"/>
    <mergeCell ref="DU741:DY741"/>
    <mergeCell ref="M272:R272"/>
    <mergeCell ref="B731:F731"/>
    <mergeCell ref="P434:Q434"/>
    <mergeCell ref="AG1038:AH1038"/>
    <mergeCell ref="T276:X276"/>
    <mergeCell ref="AF642:AJ642"/>
    <mergeCell ref="AG1034:AH1034"/>
    <mergeCell ref="Z441:AA441"/>
    <mergeCell ref="I958:T958"/>
    <mergeCell ref="BD913:BE913"/>
    <mergeCell ref="T733:W733"/>
    <mergeCell ref="AB994:AI994"/>
    <mergeCell ref="AE969:AK969"/>
    <mergeCell ref="D1026:AE1028"/>
    <mergeCell ref="Y835:AB835"/>
    <mergeCell ref="AH740:AJ740"/>
    <mergeCell ref="CM756:CN756"/>
    <mergeCell ref="AK733:AO733"/>
    <mergeCell ref="M260:AE260"/>
    <mergeCell ref="AA688:AK688"/>
    <mergeCell ref="W638:Y638"/>
    <mergeCell ref="I956:T956"/>
    <mergeCell ref="U939:Z939"/>
    <mergeCell ref="AA313:AK313"/>
    <mergeCell ref="M570:P570"/>
    <mergeCell ref="AI571:AL571"/>
    <mergeCell ref="W637:Y637"/>
    <mergeCell ref="M837:P837"/>
    <mergeCell ref="B649:AN649"/>
    <mergeCell ref="X784:AB784"/>
    <mergeCell ref="Y838:AB838"/>
    <mergeCell ref="B1000:AA1000"/>
    <mergeCell ref="C836:H836"/>
    <mergeCell ref="Z568:AD568"/>
    <mergeCell ref="AA331:AK331"/>
    <mergeCell ref="AJ365:AK365"/>
    <mergeCell ref="AC254:AE254"/>
    <mergeCell ref="L516:AB516"/>
    <mergeCell ref="AI570:AL570"/>
    <mergeCell ref="DX665:EB665"/>
    <mergeCell ref="AC396:AJ396"/>
    <mergeCell ref="Z597:AE597"/>
    <mergeCell ref="CK742:CL742"/>
    <mergeCell ref="AO636:AS636"/>
    <mergeCell ref="AH530:AK530"/>
    <mergeCell ref="H313:R313"/>
    <mergeCell ref="Z594:AK594"/>
    <mergeCell ref="Z632:AB634"/>
    <mergeCell ref="AH526:AK526"/>
    <mergeCell ref="AC527:AF527"/>
    <mergeCell ref="AA338:AK338"/>
    <mergeCell ref="CZ735:DD735"/>
    <mergeCell ref="CZ729:DD729"/>
    <mergeCell ref="P340:R340"/>
    <mergeCell ref="AA339:AK339"/>
    <mergeCell ref="DX650:EB650"/>
    <mergeCell ref="U256:W256"/>
    <mergeCell ref="AA314:AK314"/>
    <mergeCell ref="H323:R323"/>
    <mergeCell ref="AI621:AK621"/>
    <mergeCell ref="W262:X262"/>
    <mergeCell ref="H308:M308"/>
    <mergeCell ref="M266:T266"/>
    <mergeCell ref="AH263:AK263"/>
    <mergeCell ref="D479:V479"/>
    <mergeCell ref="P613:R613"/>
    <mergeCell ref="M265:AE265"/>
    <mergeCell ref="F150:T150"/>
    <mergeCell ref="AK641:AN641"/>
    <mergeCell ref="FE741:FI741"/>
    <mergeCell ref="AH515:AK515"/>
    <mergeCell ref="B647:AN647"/>
    <mergeCell ref="EC673:EG673"/>
    <mergeCell ref="EM670:EQ670"/>
    <mergeCell ref="W850:AC850"/>
    <mergeCell ref="D164:AH164"/>
    <mergeCell ref="V229:W229"/>
    <mergeCell ref="CU755:CY755"/>
    <mergeCell ref="AF260:AK260"/>
    <mergeCell ref="CK736:CL736"/>
    <mergeCell ref="X782:AB782"/>
    <mergeCell ref="X757:AB757"/>
    <mergeCell ref="EM661:EQ661"/>
    <mergeCell ref="AI401:AJ401"/>
    <mergeCell ref="DZ797:ED797"/>
    <mergeCell ref="DO795:DS795"/>
    <mergeCell ref="G668:R668"/>
    <mergeCell ref="AK750:AO750"/>
    <mergeCell ref="DE751:DI751"/>
    <mergeCell ref="EE756:EI756"/>
    <mergeCell ref="EE805:EI805"/>
    <mergeCell ref="O154:AH154"/>
    <mergeCell ref="EE737:EI737"/>
    <mergeCell ref="R177:S177"/>
    <mergeCell ref="I184:AE184"/>
    <mergeCell ref="EO761:ES761"/>
    <mergeCell ref="Q642:S642"/>
    <mergeCell ref="M245:R245"/>
    <mergeCell ref="AO639:AS639"/>
    <mergeCell ref="FJ731:FN731"/>
    <mergeCell ref="AA927:AF927"/>
    <mergeCell ref="X734:AB734"/>
    <mergeCell ref="AM562:AS562"/>
    <mergeCell ref="AH757:AJ757"/>
    <mergeCell ref="BG856:BL856"/>
    <mergeCell ref="Z692:AK692"/>
    <mergeCell ref="DX663:EB663"/>
    <mergeCell ref="Z686:AK686"/>
    <mergeCell ref="U839:X839"/>
    <mergeCell ref="Q831:T832"/>
    <mergeCell ref="E894:AB894"/>
    <mergeCell ref="CU802:CY802"/>
    <mergeCell ref="EO801:ES801"/>
    <mergeCell ref="EO743:ES743"/>
    <mergeCell ref="DU800:DY800"/>
    <mergeCell ref="CK738:CL738"/>
    <mergeCell ref="G596:R596"/>
    <mergeCell ref="CU759:CY759"/>
    <mergeCell ref="EW654:FA654"/>
    <mergeCell ref="EO728:ES728"/>
    <mergeCell ref="ET800:EX800"/>
    <mergeCell ref="EC644:EG644"/>
    <mergeCell ref="AG665:AH665"/>
    <mergeCell ref="EM668:EQ668"/>
    <mergeCell ref="DU801:DY801"/>
    <mergeCell ref="EM664:EQ664"/>
    <mergeCell ref="AK637:AN637"/>
    <mergeCell ref="FJ752:FN752"/>
    <mergeCell ref="Z695:AE695"/>
    <mergeCell ref="M838:P838"/>
    <mergeCell ref="Y808:AC808"/>
    <mergeCell ref="ER676:EV676"/>
    <mergeCell ref="DJ739:DN739"/>
    <mergeCell ref="EZ729:FD729"/>
    <mergeCell ref="EW663:FA663"/>
    <mergeCell ref="DZ799:ED799"/>
    <mergeCell ref="EW666:FA666"/>
    <mergeCell ref="CU746:CY746"/>
    <mergeCell ref="Z679:AE679"/>
    <mergeCell ref="G670:R670"/>
    <mergeCell ref="DO796:DS796"/>
    <mergeCell ref="O735:S735"/>
    <mergeCell ref="EC678:EG678"/>
    <mergeCell ref="CI733:CJ733"/>
    <mergeCell ref="EM677:EQ677"/>
    <mergeCell ref="DE744:DI744"/>
    <mergeCell ref="DU797:DY797"/>
    <mergeCell ref="AK749:AO749"/>
    <mergeCell ref="DJ759:DN759"/>
    <mergeCell ref="EO740:ES740"/>
    <mergeCell ref="EM666:EQ666"/>
    <mergeCell ref="CK734:CL734"/>
    <mergeCell ref="X755:AB755"/>
    <mergeCell ref="EE733:EI733"/>
    <mergeCell ref="EZ747:FD747"/>
    <mergeCell ref="AH728:AJ728"/>
    <mergeCell ref="G753:J753"/>
    <mergeCell ref="EC675:EG675"/>
    <mergeCell ref="G686:R686"/>
    <mergeCell ref="G722:J725"/>
    <mergeCell ref="H18:AJ18"/>
    <mergeCell ref="H696:R696"/>
    <mergeCell ref="O33:P33"/>
    <mergeCell ref="G113:H113"/>
    <mergeCell ref="Q400:U400"/>
    <mergeCell ref="F436:AH437"/>
    <mergeCell ref="H324:M324"/>
    <mergeCell ref="AC270:AE270"/>
    <mergeCell ref="N387:P387"/>
    <mergeCell ref="AA310:AK310"/>
    <mergeCell ref="AA337:AK337"/>
    <mergeCell ref="I430:K430"/>
    <mergeCell ref="M263:AE263"/>
    <mergeCell ref="Q398:U398"/>
    <mergeCell ref="AA296:AK296"/>
    <mergeCell ref="AG447:AJ447"/>
    <mergeCell ref="X744:AB744"/>
    <mergeCell ref="Z671:AE671"/>
    <mergeCell ref="B522:H524"/>
    <mergeCell ref="AC537:AF537"/>
    <mergeCell ref="A46:AT49"/>
    <mergeCell ref="AA317:AF317"/>
    <mergeCell ref="D220:Z220"/>
    <mergeCell ref="X180:Y180"/>
    <mergeCell ref="AI580:AK580"/>
    <mergeCell ref="AI398:AJ398"/>
    <mergeCell ref="M269:AE269"/>
    <mergeCell ref="AA348:AF348"/>
    <mergeCell ref="AC379:AF379"/>
    <mergeCell ref="AK639:AN639"/>
    <mergeCell ref="W564:Y564"/>
    <mergeCell ref="M252:AE252"/>
    <mergeCell ref="Q212:R212"/>
    <mergeCell ref="AH194:AI194"/>
    <mergeCell ref="H296:R296"/>
    <mergeCell ref="H306:R306"/>
    <mergeCell ref="M254:T254"/>
    <mergeCell ref="AC534:AF534"/>
    <mergeCell ref="AC509:AF509"/>
    <mergeCell ref="AH758:AJ758"/>
    <mergeCell ref="C646:L646"/>
    <mergeCell ref="EO757:ES757"/>
    <mergeCell ref="DE733:DI733"/>
    <mergeCell ref="G744:J744"/>
    <mergeCell ref="CM744:CN744"/>
    <mergeCell ref="EM645:EQ645"/>
    <mergeCell ref="DE736:DI736"/>
    <mergeCell ref="DZ738:ED738"/>
    <mergeCell ref="B740:F740"/>
    <mergeCell ref="DO731:DS731"/>
    <mergeCell ref="DU754:DY754"/>
    <mergeCell ref="DE746:DI746"/>
    <mergeCell ref="EE755:EI755"/>
    <mergeCell ref="AK748:AO748"/>
    <mergeCell ref="AK739:AO739"/>
    <mergeCell ref="EH651:EL651"/>
    <mergeCell ref="AE563:AH563"/>
    <mergeCell ref="CM727:CN727"/>
    <mergeCell ref="Q635:S635"/>
    <mergeCell ref="H309:M309"/>
    <mergeCell ref="CZ755:DD755"/>
    <mergeCell ref="AK747:AO747"/>
    <mergeCell ref="AH532:AK532"/>
    <mergeCell ref="AE573:AH573"/>
    <mergeCell ref="AC638:AE638"/>
    <mergeCell ref="AC804:AG804"/>
    <mergeCell ref="Z814:AE814"/>
    <mergeCell ref="G728:J728"/>
    <mergeCell ref="B743:F743"/>
    <mergeCell ref="N607:O607"/>
    <mergeCell ref="Z675:AK675"/>
    <mergeCell ref="CU733:CY733"/>
    <mergeCell ref="T735:W735"/>
    <mergeCell ref="CM755:CN755"/>
    <mergeCell ref="G727:J727"/>
    <mergeCell ref="Q570:S570"/>
    <mergeCell ref="T737:W737"/>
    <mergeCell ref="CM757:CN757"/>
    <mergeCell ref="T754:W754"/>
    <mergeCell ref="AI573:AL573"/>
    <mergeCell ref="AK635:AN635"/>
    <mergeCell ref="CP753:CT753"/>
    <mergeCell ref="T739:W739"/>
    <mergeCell ref="Z570:AD570"/>
    <mergeCell ref="T801:W801"/>
    <mergeCell ref="T732:W732"/>
    <mergeCell ref="T570:V570"/>
    <mergeCell ref="B735:F735"/>
    <mergeCell ref="B746:F746"/>
    <mergeCell ref="G726:J726"/>
    <mergeCell ref="G729:J729"/>
    <mergeCell ref="O801:S801"/>
    <mergeCell ref="CP810:CT810"/>
    <mergeCell ref="Q637:S637"/>
    <mergeCell ref="ER646:EV646"/>
    <mergeCell ref="ET747:EX747"/>
    <mergeCell ref="AC722:AG725"/>
    <mergeCell ref="CM747:CN747"/>
    <mergeCell ref="EW672:FA672"/>
    <mergeCell ref="EO746:ES746"/>
    <mergeCell ref="ER663:EV663"/>
    <mergeCell ref="EJ737:EN737"/>
    <mergeCell ref="DO744:DS744"/>
    <mergeCell ref="DE739:DI739"/>
    <mergeCell ref="Q837:T837"/>
    <mergeCell ref="C835:H835"/>
    <mergeCell ref="AH517:AK517"/>
    <mergeCell ref="CU801:CY801"/>
    <mergeCell ref="DO727:DS727"/>
    <mergeCell ref="AK737:AO737"/>
    <mergeCell ref="DE737:DI737"/>
    <mergeCell ref="AH739:AJ739"/>
    <mergeCell ref="DE757:DI757"/>
    <mergeCell ref="CU732:CY732"/>
    <mergeCell ref="G758:J758"/>
    <mergeCell ref="EE748:EI748"/>
    <mergeCell ref="DX646:EB646"/>
    <mergeCell ref="EO754:ES754"/>
    <mergeCell ref="DU735:DY735"/>
    <mergeCell ref="ET748:EX748"/>
    <mergeCell ref="CM759:CN759"/>
    <mergeCell ref="ET807:EX807"/>
    <mergeCell ref="G585:R585"/>
    <mergeCell ref="CZ797:DD797"/>
    <mergeCell ref="CU799:CY799"/>
    <mergeCell ref="AC805:AG805"/>
    <mergeCell ref="DX660:EB660"/>
    <mergeCell ref="D999:Q999"/>
    <mergeCell ref="DZ801:ED801"/>
    <mergeCell ref="FJ735:FN735"/>
    <mergeCell ref="DZ795:ED795"/>
    <mergeCell ref="F940:T940"/>
    <mergeCell ref="DJ784:DN784"/>
    <mergeCell ref="EZ740:FD740"/>
    <mergeCell ref="FJ737:FN737"/>
    <mergeCell ref="EO744:ES744"/>
    <mergeCell ref="ER655:EV655"/>
    <mergeCell ref="AC751:AG751"/>
    <mergeCell ref="CP729:CT729"/>
    <mergeCell ref="C834:H834"/>
    <mergeCell ref="ER657:EV657"/>
    <mergeCell ref="A988:AT990"/>
    <mergeCell ref="Q835:T835"/>
    <mergeCell ref="CZ810:DD810"/>
    <mergeCell ref="ET736:EX736"/>
    <mergeCell ref="EW673:FA673"/>
    <mergeCell ref="DZ728:ED728"/>
    <mergeCell ref="ET725:EX725"/>
    <mergeCell ref="EW665:FA665"/>
    <mergeCell ref="FE749:FI749"/>
    <mergeCell ref="DZ803:ED803"/>
    <mergeCell ref="Q836:T836"/>
    <mergeCell ref="ET805:EX805"/>
    <mergeCell ref="DU759:DY759"/>
    <mergeCell ref="EC663:EG663"/>
    <mergeCell ref="EE739:EI739"/>
    <mergeCell ref="EJ756:EN756"/>
    <mergeCell ref="EZ741:FD741"/>
    <mergeCell ref="AA308:AF308"/>
    <mergeCell ref="G651:R651"/>
    <mergeCell ref="EJ797:EN797"/>
    <mergeCell ref="AC513:AF513"/>
    <mergeCell ref="EW657:FA657"/>
    <mergeCell ref="W474:Y474"/>
    <mergeCell ref="AC732:AG732"/>
    <mergeCell ref="FY754:GC754"/>
    <mergeCell ref="DZ739:ED739"/>
    <mergeCell ref="G653:R653"/>
    <mergeCell ref="EJ799:EN799"/>
    <mergeCell ref="AO645:AS645"/>
    <mergeCell ref="ET796:EX796"/>
    <mergeCell ref="T642:V642"/>
    <mergeCell ref="AG764:AJ764"/>
    <mergeCell ref="Z577:AK577"/>
    <mergeCell ref="Z603:AK603"/>
    <mergeCell ref="R420:S420"/>
    <mergeCell ref="W632:Y634"/>
    <mergeCell ref="H606:R606"/>
    <mergeCell ref="G576:R576"/>
    <mergeCell ref="EW647:FA647"/>
    <mergeCell ref="ET730:EX730"/>
    <mergeCell ref="ET732:EX732"/>
    <mergeCell ref="DX648:EB648"/>
    <mergeCell ref="EW671:FA671"/>
    <mergeCell ref="T566:V566"/>
    <mergeCell ref="W636:Y636"/>
    <mergeCell ref="CI757:CJ757"/>
    <mergeCell ref="X751:AB751"/>
    <mergeCell ref="X752:AB752"/>
    <mergeCell ref="FT752:FX752"/>
    <mergeCell ref="I1057:J1057"/>
    <mergeCell ref="AH546:AK546"/>
    <mergeCell ref="FJ748:FN748"/>
    <mergeCell ref="DX662:EB662"/>
    <mergeCell ref="EH659:EL659"/>
    <mergeCell ref="AK741:AO741"/>
    <mergeCell ref="EH653:EL653"/>
    <mergeCell ref="CZ781:DD781"/>
    <mergeCell ref="D475:V475"/>
    <mergeCell ref="M831:P832"/>
    <mergeCell ref="AG451:AJ451"/>
    <mergeCell ref="DZ754:ED754"/>
    <mergeCell ref="AC798:AG798"/>
    <mergeCell ref="AE565:AH565"/>
    <mergeCell ref="EZ759:FD759"/>
    <mergeCell ref="D1010:AE1010"/>
    <mergeCell ref="ER677:EV677"/>
    <mergeCell ref="DO758:DS758"/>
    <mergeCell ref="AJ1002:AQ1002"/>
    <mergeCell ref="DZ726:ED726"/>
    <mergeCell ref="AE564:AH564"/>
    <mergeCell ref="AA680:AK680"/>
    <mergeCell ref="FE757:FI757"/>
    <mergeCell ref="DE753:DI753"/>
    <mergeCell ref="AA938:AF938"/>
    <mergeCell ref="Q568:S568"/>
    <mergeCell ref="AC526:AF526"/>
    <mergeCell ref="CG736:CH736"/>
    <mergeCell ref="AH756:AJ756"/>
    <mergeCell ref="AH750:AJ750"/>
    <mergeCell ref="EZ760:FD760"/>
    <mergeCell ref="AC520:AF520"/>
    <mergeCell ref="CZ799:DD799"/>
    <mergeCell ref="EJ733:EN733"/>
    <mergeCell ref="DO740:DS740"/>
    <mergeCell ref="FT756:FX756"/>
    <mergeCell ref="X791:AB794"/>
    <mergeCell ref="Z589:AE589"/>
    <mergeCell ref="EZ731:FD731"/>
    <mergeCell ref="AC782:AG782"/>
    <mergeCell ref="ER661:EV661"/>
    <mergeCell ref="CU734:CY734"/>
    <mergeCell ref="AC639:AE639"/>
    <mergeCell ref="FO741:FS741"/>
    <mergeCell ref="CG737:CH737"/>
    <mergeCell ref="O726:S726"/>
    <mergeCell ref="N689:O689"/>
    <mergeCell ref="CK733:CL733"/>
    <mergeCell ref="FT754:FX754"/>
    <mergeCell ref="FJ750:FN750"/>
    <mergeCell ref="CU761:CY761"/>
    <mergeCell ref="EZ749:FD749"/>
    <mergeCell ref="ER664:EV664"/>
    <mergeCell ref="FT737:FX737"/>
    <mergeCell ref="DJ760:DN760"/>
    <mergeCell ref="FO734:FS734"/>
    <mergeCell ref="EH646:EL646"/>
    <mergeCell ref="FO739:FS739"/>
    <mergeCell ref="FJ732:FN732"/>
    <mergeCell ref="DJ796:DN796"/>
    <mergeCell ref="DJ742:DN742"/>
    <mergeCell ref="CZ758:DD758"/>
    <mergeCell ref="DU748:DY748"/>
    <mergeCell ref="EO759:ES759"/>
    <mergeCell ref="C1090:D1090"/>
    <mergeCell ref="CG748:CH748"/>
    <mergeCell ref="M364:N364"/>
    <mergeCell ref="DJ744:DN744"/>
    <mergeCell ref="CP725:CT725"/>
    <mergeCell ref="D996:Q996"/>
    <mergeCell ref="D1039:AE1040"/>
    <mergeCell ref="C1092:D1092"/>
    <mergeCell ref="AG657:AH657"/>
    <mergeCell ref="CG750:CH750"/>
    <mergeCell ref="DZ748:ED748"/>
    <mergeCell ref="FT742:FX742"/>
    <mergeCell ref="DE755:DI755"/>
    <mergeCell ref="Z619:AK619"/>
    <mergeCell ref="AA940:AF940"/>
    <mergeCell ref="W476:Y476"/>
    <mergeCell ref="AC734:AG734"/>
    <mergeCell ref="CI725:CJ725"/>
    <mergeCell ref="EJ801:EN801"/>
    <mergeCell ref="T981:Z981"/>
    <mergeCell ref="ET798:EX798"/>
    <mergeCell ref="AC742:AG742"/>
    <mergeCell ref="CP745:CT745"/>
    <mergeCell ref="W478:Y478"/>
    <mergeCell ref="AC736:AG736"/>
    <mergeCell ref="CZ742:DD742"/>
    <mergeCell ref="N599:O599"/>
    <mergeCell ref="DO759:DS759"/>
    <mergeCell ref="EJ746:EN746"/>
    <mergeCell ref="DO753:DS753"/>
    <mergeCell ref="CP738:CT738"/>
    <mergeCell ref="EJ732:EN732"/>
    <mergeCell ref="I1061:J1061"/>
    <mergeCell ref="DX666:EB666"/>
    <mergeCell ref="AC529:AF529"/>
    <mergeCell ref="G752:J752"/>
    <mergeCell ref="AH759:AJ759"/>
    <mergeCell ref="AC836:AF836"/>
    <mergeCell ref="W857:AC857"/>
    <mergeCell ref="K729:N729"/>
    <mergeCell ref="AA350:AK350"/>
    <mergeCell ref="V390:W390"/>
    <mergeCell ref="G669:R669"/>
    <mergeCell ref="AC835:AF835"/>
    <mergeCell ref="M645:P645"/>
    <mergeCell ref="DJ741:DN741"/>
    <mergeCell ref="DJ747:DN747"/>
    <mergeCell ref="J784:N784"/>
    <mergeCell ref="DZ730:ED730"/>
    <mergeCell ref="AA958:AF958"/>
    <mergeCell ref="G662:R662"/>
    <mergeCell ref="G747:J747"/>
    <mergeCell ref="DJ749:DN749"/>
    <mergeCell ref="P954:T954"/>
    <mergeCell ref="J857:V857"/>
    <mergeCell ref="CG755:CH755"/>
    <mergeCell ref="S414:AJ414"/>
    <mergeCell ref="AH749:AJ749"/>
    <mergeCell ref="T567:V567"/>
    <mergeCell ref="DO784:DS784"/>
    <mergeCell ref="F924:T924"/>
    <mergeCell ref="T644:V644"/>
    <mergeCell ref="M565:P565"/>
    <mergeCell ref="CZ725:DD725"/>
    <mergeCell ref="A13:AT14"/>
    <mergeCell ref="EH676:EL676"/>
    <mergeCell ref="AH745:AJ745"/>
    <mergeCell ref="B751:F751"/>
    <mergeCell ref="FO728:FS728"/>
    <mergeCell ref="Y809:AC809"/>
    <mergeCell ref="B497:P498"/>
    <mergeCell ref="T744:W744"/>
    <mergeCell ref="DX643:EB643"/>
    <mergeCell ref="ER660:EV660"/>
    <mergeCell ref="FJ739:FN739"/>
    <mergeCell ref="AI562:AL562"/>
    <mergeCell ref="B753:F753"/>
    <mergeCell ref="EH644:EL644"/>
    <mergeCell ref="AG591:AH591"/>
    <mergeCell ref="EH671:EL671"/>
    <mergeCell ref="DX645:EB645"/>
    <mergeCell ref="DZ745:ED745"/>
    <mergeCell ref="EE802:EI802"/>
    <mergeCell ref="AC783:AG783"/>
    <mergeCell ref="EJ736:EN736"/>
    <mergeCell ref="I190:N190"/>
    <mergeCell ref="M563:P563"/>
    <mergeCell ref="B574:AL574"/>
    <mergeCell ref="AF632:AJ634"/>
    <mergeCell ref="ET751:EX751"/>
    <mergeCell ref="EM649:EQ649"/>
    <mergeCell ref="A69:AT70"/>
    <mergeCell ref="EJ803:EN803"/>
    <mergeCell ref="CK737:CL737"/>
    <mergeCell ref="A54:AT58"/>
    <mergeCell ref="ET761:EX761"/>
    <mergeCell ref="C1094:D1094"/>
    <mergeCell ref="M247:T247"/>
    <mergeCell ref="H329:R329"/>
    <mergeCell ref="CP754:CT754"/>
    <mergeCell ref="BD919:BE919"/>
    <mergeCell ref="CI727:CJ727"/>
    <mergeCell ref="ER649:EV649"/>
    <mergeCell ref="EH650:EL650"/>
    <mergeCell ref="A20:AT20"/>
    <mergeCell ref="FT746:FX746"/>
    <mergeCell ref="AH537:AK537"/>
    <mergeCell ref="AC463:AF463"/>
    <mergeCell ref="H331:R331"/>
    <mergeCell ref="EE797:EI797"/>
    <mergeCell ref="DU731:DY731"/>
    <mergeCell ref="U835:X835"/>
    <mergeCell ref="DJ804:DN804"/>
    <mergeCell ref="CZ738:DD738"/>
    <mergeCell ref="CI729:CJ729"/>
    <mergeCell ref="EZ750:FD750"/>
    <mergeCell ref="B756:F756"/>
    <mergeCell ref="AC465:AF465"/>
    <mergeCell ref="CP749:CT749"/>
    <mergeCell ref="AJ1029:AQ1033"/>
    <mergeCell ref="U837:X837"/>
    <mergeCell ref="ET740:EX740"/>
    <mergeCell ref="EH645:EL645"/>
    <mergeCell ref="Z605:AE605"/>
    <mergeCell ref="FO726:FS726"/>
    <mergeCell ref="T742:W742"/>
    <mergeCell ref="B758:F758"/>
    <mergeCell ref="DJ799:DN799"/>
    <mergeCell ref="C1081:D1081"/>
    <mergeCell ref="T784:W784"/>
    <mergeCell ref="C1075:D1075"/>
    <mergeCell ref="P687:R687"/>
    <mergeCell ref="AC538:AF538"/>
    <mergeCell ref="M981:S981"/>
    <mergeCell ref="O746:S746"/>
    <mergeCell ref="H310:R310"/>
    <mergeCell ref="H614:R614"/>
    <mergeCell ref="AM567:AS567"/>
    <mergeCell ref="D1055:AE1056"/>
    <mergeCell ref="C1083:D1083"/>
    <mergeCell ref="FE750:FI750"/>
    <mergeCell ref="CZ759:DD759"/>
    <mergeCell ref="AC540:AF540"/>
    <mergeCell ref="C564:L564"/>
    <mergeCell ref="ET755:EX755"/>
    <mergeCell ref="FE753:FI753"/>
    <mergeCell ref="ET757:EX757"/>
    <mergeCell ref="EJ752:EN752"/>
    <mergeCell ref="ET743:EX743"/>
    <mergeCell ref="G742:J742"/>
    <mergeCell ref="B747:F747"/>
    <mergeCell ref="CP802:CT802"/>
    <mergeCell ref="B722:F725"/>
    <mergeCell ref="Z640:AB640"/>
    <mergeCell ref="AC641:AE641"/>
    <mergeCell ref="CG752:CH752"/>
    <mergeCell ref="AC838:AF838"/>
    <mergeCell ref="Z593:AK593"/>
    <mergeCell ref="X800:AB800"/>
    <mergeCell ref="W884:AC884"/>
    <mergeCell ref="W859:AC859"/>
    <mergeCell ref="AC533:AF533"/>
    <mergeCell ref="EJ748:EN748"/>
    <mergeCell ref="C566:L566"/>
    <mergeCell ref="Z595:AK595"/>
    <mergeCell ref="W886:AC886"/>
    <mergeCell ref="K758:N758"/>
    <mergeCell ref="CZ754:DD754"/>
    <mergeCell ref="AE970:AK970"/>
    <mergeCell ref="M984:S984"/>
    <mergeCell ref="C1080:D1080"/>
    <mergeCell ref="X738:AB738"/>
    <mergeCell ref="EC662:EG662"/>
    <mergeCell ref="T799:W799"/>
    <mergeCell ref="DE800:DI800"/>
    <mergeCell ref="CK752:CL752"/>
    <mergeCell ref="CK746:CL746"/>
    <mergeCell ref="AM572:AS572"/>
    <mergeCell ref="G730:J730"/>
    <mergeCell ref="E1076:AR1077"/>
    <mergeCell ref="DE750:DI750"/>
    <mergeCell ref="Z638:AB638"/>
    <mergeCell ref="G683:R683"/>
    <mergeCell ref="C833:H833"/>
    <mergeCell ref="DE735:DI735"/>
    <mergeCell ref="D1025:AE1025"/>
    <mergeCell ref="G731:J731"/>
    <mergeCell ref="AC895:AH895"/>
    <mergeCell ref="DE740:DI740"/>
    <mergeCell ref="CM742:CN742"/>
    <mergeCell ref="Z613:AE613"/>
    <mergeCell ref="EH652:EL652"/>
    <mergeCell ref="A39:AT44"/>
    <mergeCell ref="EW668:FA668"/>
    <mergeCell ref="AH760:AJ760"/>
    <mergeCell ref="AM574:AS574"/>
    <mergeCell ref="H344:R344"/>
    <mergeCell ref="D204:M204"/>
    <mergeCell ref="DJ751:DN751"/>
    <mergeCell ref="CZ726:DD726"/>
    <mergeCell ref="AH511:AK511"/>
    <mergeCell ref="CU795:CY795"/>
    <mergeCell ref="H334:R334"/>
    <mergeCell ref="C567:L567"/>
    <mergeCell ref="AC893:AH893"/>
    <mergeCell ref="AA258:AK258"/>
    <mergeCell ref="AF1030:AI1031"/>
    <mergeCell ref="CP752:CT752"/>
    <mergeCell ref="CZ743:DD743"/>
    <mergeCell ref="T736:W736"/>
    <mergeCell ref="I959:T959"/>
    <mergeCell ref="AE702:AF702"/>
    <mergeCell ref="AI564:AL564"/>
    <mergeCell ref="CU727:CY727"/>
    <mergeCell ref="CP795:CT795"/>
    <mergeCell ref="AC834:AF834"/>
    <mergeCell ref="O728:S728"/>
    <mergeCell ref="G677:R677"/>
    <mergeCell ref="EZ745:FD745"/>
    <mergeCell ref="EW675:FA675"/>
    <mergeCell ref="Z601:AK601"/>
    <mergeCell ref="Y831:AB832"/>
    <mergeCell ref="AA946:AF946"/>
    <mergeCell ref="EM655:EQ655"/>
    <mergeCell ref="M26:Q26"/>
    <mergeCell ref="M970:S970"/>
    <mergeCell ref="AI687:AK687"/>
    <mergeCell ref="DX647:EB647"/>
    <mergeCell ref="D451:AF451"/>
    <mergeCell ref="AI566:AL566"/>
    <mergeCell ref="FO757:FS757"/>
    <mergeCell ref="FE758:FI758"/>
    <mergeCell ref="K745:N745"/>
    <mergeCell ref="D453:AF453"/>
    <mergeCell ref="DE798:DI798"/>
    <mergeCell ref="DJ732:DN732"/>
    <mergeCell ref="FO748:FS748"/>
    <mergeCell ref="FJ757:FN757"/>
    <mergeCell ref="AJ995:AQ995"/>
    <mergeCell ref="AJ1003:AQ1009"/>
    <mergeCell ref="AC784:AG784"/>
    <mergeCell ref="ET753:EX753"/>
    <mergeCell ref="Q374:AG374"/>
    <mergeCell ref="EH660:EL660"/>
    <mergeCell ref="CU782:CY782"/>
    <mergeCell ref="AH731:AJ731"/>
    <mergeCell ref="ET752:EX752"/>
    <mergeCell ref="T755:W755"/>
    <mergeCell ref="DX671:EB671"/>
    <mergeCell ref="CG735:CH735"/>
    <mergeCell ref="FO735:FS735"/>
    <mergeCell ref="DU760:DY760"/>
    <mergeCell ref="A29:AT31"/>
    <mergeCell ref="J966:S966"/>
    <mergeCell ref="FO729:FS729"/>
    <mergeCell ref="ET742:EX742"/>
    <mergeCell ref="FY761:GC761"/>
    <mergeCell ref="B760:F760"/>
    <mergeCell ref="FE740:FI740"/>
    <mergeCell ref="AI563:AL563"/>
    <mergeCell ref="T569:V569"/>
    <mergeCell ref="ET744:EX744"/>
    <mergeCell ref="X754:AB754"/>
    <mergeCell ref="EW655:FA655"/>
    <mergeCell ref="AH747:AJ747"/>
    <mergeCell ref="AE706:AI706"/>
    <mergeCell ref="CU729:CY729"/>
    <mergeCell ref="AA315:AK315"/>
    <mergeCell ref="T746:W746"/>
    <mergeCell ref="FO730:FS730"/>
    <mergeCell ref="AI565:AL565"/>
    <mergeCell ref="FY746:GC746"/>
    <mergeCell ref="G740:J740"/>
    <mergeCell ref="O750:S750"/>
    <mergeCell ref="AH518:AK518"/>
    <mergeCell ref="FY755:GC755"/>
    <mergeCell ref="EM669:EQ669"/>
    <mergeCell ref="EO725:ES725"/>
    <mergeCell ref="H590:R590"/>
    <mergeCell ref="CG758:CH758"/>
    <mergeCell ref="W475:Y475"/>
    <mergeCell ref="Q567:S567"/>
    <mergeCell ref="T568:V568"/>
    <mergeCell ref="C570:L570"/>
    <mergeCell ref="AC518:AF518"/>
    <mergeCell ref="O736:S736"/>
    <mergeCell ref="CU731:CY731"/>
    <mergeCell ref="FT747:FX747"/>
    <mergeCell ref="AH510:AK510"/>
    <mergeCell ref="FE738:FI738"/>
    <mergeCell ref="FY732:GC732"/>
    <mergeCell ref="DX651:EB651"/>
    <mergeCell ref="EZ730:FD730"/>
    <mergeCell ref="FO746:FS746"/>
    <mergeCell ref="FJ728:FN728"/>
    <mergeCell ref="FO731:FS731"/>
    <mergeCell ref="FY731:GC731"/>
    <mergeCell ref="FE745:FI745"/>
    <mergeCell ref="FO742:FS742"/>
    <mergeCell ref="FO736:FS736"/>
    <mergeCell ref="FY735:GC735"/>
    <mergeCell ref="CU745:CY745"/>
    <mergeCell ref="AK643:AN643"/>
    <mergeCell ref="AH529:AK529"/>
    <mergeCell ref="ET733:EX733"/>
    <mergeCell ref="FT727:FX727"/>
    <mergeCell ref="FT729:FX729"/>
    <mergeCell ref="FO737:FS737"/>
    <mergeCell ref="FY739:GC739"/>
    <mergeCell ref="FE743:FI743"/>
    <mergeCell ref="ER675:EV675"/>
    <mergeCell ref="CZ741:DD741"/>
    <mergeCell ref="FJ725:FN725"/>
    <mergeCell ref="FJ738:FN738"/>
    <mergeCell ref="FE725:FI725"/>
    <mergeCell ref="EH669:EL669"/>
    <mergeCell ref="ER666:EV666"/>
    <mergeCell ref="CI738:CJ738"/>
    <mergeCell ref="ER659:EV659"/>
    <mergeCell ref="AO648:AS648"/>
    <mergeCell ref="U953:Z953"/>
    <mergeCell ref="EC674:EG674"/>
    <mergeCell ref="C568:L568"/>
    <mergeCell ref="DU747:DY747"/>
    <mergeCell ref="CI745:CJ745"/>
    <mergeCell ref="W888:AC888"/>
    <mergeCell ref="O803:S803"/>
    <mergeCell ref="M885:V885"/>
    <mergeCell ref="K726:N726"/>
    <mergeCell ref="EW656:FA656"/>
    <mergeCell ref="EO730:ES730"/>
    <mergeCell ref="FT758:FX758"/>
    <mergeCell ref="O802:S802"/>
    <mergeCell ref="T750:W750"/>
    <mergeCell ref="G676:R676"/>
    <mergeCell ref="CG741:CH741"/>
    <mergeCell ref="G746:J746"/>
    <mergeCell ref="X733:AB733"/>
    <mergeCell ref="G748:J748"/>
    <mergeCell ref="G602:R602"/>
    <mergeCell ref="O739:S739"/>
    <mergeCell ref="B748:F748"/>
    <mergeCell ref="AK636:AN636"/>
    <mergeCell ref="AI695:AK695"/>
    <mergeCell ref="F947:T947"/>
    <mergeCell ref="G588:R588"/>
    <mergeCell ref="FT741:FX741"/>
    <mergeCell ref="EW649:FA649"/>
    <mergeCell ref="F949:T949"/>
    <mergeCell ref="CI732:CJ732"/>
    <mergeCell ref="FT743:FX743"/>
    <mergeCell ref="FT728:FX728"/>
    <mergeCell ref="A1109:B1109"/>
    <mergeCell ref="AE707:AI707"/>
    <mergeCell ref="H341:M341"/>
    <mergeCell ref="AG1041:AH1041"/>
    <mergeCell ref="CM729:CN729"/>
    <mergeCell ref="Q840:T840"/>
    <mergeCell ref="P589:R589"/>
    <mergeCell ref="DO742:DS742"/>
    <mergeCell ref="EJ729:EN729"/>
    <mergeCell ref="Y837:AB837"/>
    <mergeCell ref="P597:R597"/>
    <mergeCell ref="AB999:AI999"/>
    <mergeCell ref="DU751:DY751"/>
    <mergeCell ref="X735:AB735"/>
    <mergeCell ref="DE734:DI734"/>
    <mergeCell ref="W983:AG983"/>
    <mergeCell ref="DU753:DY753"/>
    <mergeCell ref="CK755:CL755"/>
    <mergeCell ref="CU784:CY784"/>
    <mergeCell ref="K749:N749"/>
    <mergeCell ref="C845:AJ845"/>
    <mergeCell ref="T632:V634"/>
    <mergeCell ref="EC643:EG643"/>
    <mergeCell ref="G655:L655"/>
    <mergeCell ref="A1103:B1103"/>
    <mergeCell ref="G620:R620"/>
    <mergeCell ref="CU752:CY752"/>
    <mergeCell ref="CG738:CH738"/>
    <mergeCell ref="Q573:S573"/>
    <mergeCell ref="AF1002:AI1002"/>
    <mergeCell ref="C1103:D1103"/>
    <mergeCell ref="U954:Z954"/>
    <mergeCell ref="A1074:B1074"/>
    <mergeCell ref="A12:AT12"/>
    <mergeCell ref="FJ747:FN747"/>
    <mergeCell ref="CU760:CY760"/>
    <mergeCell ref="W853:AC853"/>
    <mergeCell ref="AA340:AF340"/>
    <mergeCell ref="AJ1022:AQ1024"/>
    <mergeCell ref="Q644:S644"/>
    <mergeCell ref="AG838:AJ838"/>
    <mergeCell ref="AO647:AS647"/>
    <mergeCell ref="AO641:AS641"/>
    <mergeCell ref="FJ749:FN749"/>
    <mergeCell ref="P354:AE354"/>
    <mergeCell ref="Z272:AE272"/>
    <mergeCell ref="Q643:S643"/>
    <mergeCell ref="S401:U401"/>
    <mergeCell ref="G692:R692"/>
    <mergeCell ref="W572:Y572"/>
    <mergeCell ref="FE760:FI760"/>
    <mergeCell ref="Q645:S645"/>
    <mergeCell ref="EC665:EG665"/>
    <mergeCell ref="EE727:EI727"/>
    <mergeCell ref="AH534:AK534"/>
    <mergeCell ref="CI726:CJ726"/>
    <mergeCell ref="AO642:AS642"/>
    <mergeCell ref="AG410:AJ410"/>
    <mergeCell ref="EC664:EG664"/>
    <mergeCell ref="J713:O713"/>
    <mergeCell ref="EE729:EI729"/>
    <mergeCell ref="BI849:BL849"/>
    <mergeCell ref="Q403:U403"/>
    <mergeCell ref="D1029:AE1030"/>
    <mergeCell ref="E1094:AR1096"/>
    <mergeCell ref="U941:Z941"/>
    <mergeCell ref="G691:R691"/>
    <mergeCell ref="DO728:DS728"/>
    <mergeCell ref="DU740:DY740"/>
    <mergeCell ref="AG1010:AH1010"/>
    <mergeCell ref="AC640:AE640"/>
    <mergeCell ref="AA581:AK581"/>
    <mergeCell ref="DO739:DS739"/>
    <mergeCell ref="EE758:EI758"/>
    <mergeCell ref="AG583:AH583"/>
    <mergeCell ref="AF644:AJ644"/>
    <mergeCell ref="EE754:EI754"/>
    <mergeCell ref="DE802:DI802"/>
    <mergeCell ref="CK748:CL748"/>
    <mergeCell ref="C1084:D1084"/>
    <mergeCell ref="C840:L840"/>
    <mergeCell ref="AA941:AF941"/>
    <mergeCell ref="CM758:CN758"/>
    <mergeCell ref="X1057:Y1057"/>
    <mergeCell ref="AG834:AJ834"/>
    <mergeCell ref="CU758:CY758"/>
    <mergeCell ref="O727:S727"/>
    <mergeCell ref="K752:N752"/>
    <mergeCell ref="AG836:AJ836"/>
    <mergeCell ref="G1067:AN1069"/>
    <mergeCell ref="AJ1025:AQ1028"/>
    <mergeCell ref="T743:W743"/>
    <mergeCell ref="X759:AB759"/>
    <mergeCell ref="T866:V866"/>
    <mergeCell ref="DU804:DY804"/>
    <mergeCell ref="AG1029:AH1029"/>
    <mergeCell ref="V391:W391"/>
    <mergeCell ref="D279:H279"/>
    <mergeCell ref="K730:N730"/>
    <mergeCell ref="EO734:ES734"/>
    <mergeCell ref="Z620:AK620"/>
    <mergeCell ref="DO726:DS726"/>
    <mergeCell ref="EC645:EG645"/>
    <mergeCell ref="W851:AC851"/>
    <mergeCell ref="EE745:EI745"/>
    <mergeCell ref="EJ802:EN802"/>
    <mergeCell ref="K732:N732"/>
    <mergeCell ref="H297:R297"/>
    <mergeCell ref="AA318:AK318"/>
    <mergeCell ref="AA347:AK347"/>
    <mergeCell ref="M643:P643"/>
    <mergeCell ref="Z639:AB639"/>
    <mergeCell ref="AG449:AJ449"/>
    <mergeCell ref="L288:AD288"/>
    <mergeCell ref="Z641:AB641"/>
    <mergeCell ref="W708:AK708"/>
    <mergeCell ref="W640:Y640"/>
    <mergeCell ref="EM643:EQ643"/>
    <mergeCell ref="CM743:CN743"/>
    <mergeCell ref="L284:AD284"/>
    <mergeCell ref="CM738:CN738"/>
    <mergeCell ref="AK753:AO753"/>
    <mergeCell ref="AA325:AF325"/>
    <mergeCell ref="U831:X832"/>
    <mergeCell ref="DX667:EB667"/>
    <mergeCell ref="EM644:EQ644"/>
    <mergeCell ref="CZ747:DD747"/>
    <mergeCell ref="DU734:DY734"/>
    <mergeCell ref="AA979:AG979"/>
    <mergeCell ref="O777:S780"/>
    <mergeCell ref="AG835:AJ835"/>
    <mergeCell ref="K754:N754"/>
    <mergeCell ref="F984:L984"/>
    <mergeCell ref="AA956:AF956"/>
    <mergeCell ref="A23:AT24"/>
    <mergeCell ref="FJ751:FN751"/>
    <mergeCell ref="O531:AA531"/>
    <mergeCell ref="ER678:EV678"/>
    <mergeCell ref="DJ800:DN800"/>
    <mergeCell ref="CM745:CN745"/>
    <mergeCell ref="P358:AE358"/>
    <mergeCell ref="FJ753:FN753"/>
    <mergeCell ref="P580:R580"/>
    <mergeCell ref="EJ745:EN745"/>
    <mergeCell ref="DX652:EB652"/>
    <mergeCell ref="U833:X833"/>
    <mergeCell ref="J376:K376"/>
    <mergeCell ref="T738:W738"/>
    <mergeCell ref="DX654:EB654"/>
    <mergeCell ref="CG754:CH754"/>
    <mergeCell ref="O528:AA528"/>
    <mergeCell ref="EZ751:FD751"/>
    <mergeCell ref="Z676:AK676"/>
    <mergeCell ref="AK751:AO751"/>
    <mergeCell ref="X726:AB726"/>
    <mergeCell ref="Z668:AK668"/>
    <mergeCell ref="DE725:DI725"/>
    <mergeCell ref="DE752:DI752"/>
    <mergeCell ref="DO743:DS743"/>
    <mergeCell ref="Z678:AK678"/>
    <mergeCell ref="E1084:AR1088"/>
    <mergeCell ref="FJ740:FN740"/>
    <mergeCell ref="B739:F739"/>
    <mergeCell ref="AC754:AG754"/>
    <mergeCell ref="F951:T951"/>
    <mergeCell ref="F945:T945"/>
    <mergeCell ref="E1079:AR1082"/>
    <mergeCell ref="AF638:AJ638"/>
    <mergeCell ref="C771:AR773"/>
    <mergeCell ref="FT726:FX726"/>
    <mergeCell ref="J791:N794"/>
    <mergeCell ref="O748:S748"/>
    <mergeCell ref="CM725:CN725"/>
    <mergeCell ref="Z602:AK602"/>
    <mergeCell ref="U951:Z951"/>
    <mergeCell ref="FJ756:FN756"/>
    <mergeCell ref="CP748:CT748"/>
    <mergeCell ref="G693:R693"/>
    <mergeCell ref="DO730:DS730"/>
    <mergeCell ref="EH661:EL661"/>
    <mergeCell ref="AJ1010:AQ1015"/>
    <mergeCell ref="DE754:DI754"/>
    <mergeCell ref="AA939:AF939"/>
    <mergeCell ref="EZ746:FD746"/>
    <mergeCell ref="AA952:AF952"/>
    <mergeCell ref="DO799:DS799"/>
    <mergeCell ref="G750:J750"/>
    <mergeCell ref="AA954:AF954"/>
    <mergeCell ref="J796:N796"/>
    <mergeCell ref="EO797:ES797"/>
    <mergeCell ref="AB996:AI996"/>
    <mergeCell ref="EO799:ES799"/>
    <mergeCell ref="E1103:AR1104"/>
    <mergeCell ref="W477:Y477"/>
    <mergeCell ref="J394:U394"/>
    <mergeCell ref="Y839:AB839"/>
    <mergeCell ref="D449:AF449"/>
    <mergeCell ref="G741:J741"/>
    <mergeCell ref="ET799:EX799"/>
    <mergeCell ref="AC547:AF547"/>
    <mergeCell ref="AA696:AK696"/>
    <mergeCell ref="C1082:D1082"/>
    <mergeCell ref="O157:X157"/>
    <mergeCell ref="AC726:AG726"/>
    <mergeCell ref="AM568:AS568"/>
    <mergeCell ref="T795:W795"/>
    <mergeCell ref="J804:N804"/>
    <mergeCell ref="AC549:AF549"/>
    <mergeCell ref="AC243:AE243"/>
    <mergeCell ref="Z569:AD569"/>
    <mergeCell ref="AC728:AG728"/>
    <mergeCell ref="Z611:AK611"/>
    <mergeCell ref="J797:N797"/>
    <mergeCell ref="H423:AE424"/>
    <mergeCell ref="CP735:CT735"/>
    <mergeCell ref="AM570:AS570"/>
    <mergeCell ref="C1101:D1101"/>
    <mergeCell ref="EO738:ES738"/>
    <mergeCell ref="CK750:CL750"/>
    <mergeCell ref="C1077:D1077"/>
    <mergeCell ref="EW678:FA678"/>
    <mergeCell ref="AC464:AF464"/>
    <mergeCell ref="W427:Y427"/>
    <mergeCell ref="EZ761:FD761"/>
    <mergeCell ref="A1094:B1094"/>
    <mergeCell ref="AI238:AJ238"/>
    <mergeCell ref="Z654:AK654"/>
    <mergeCell ref="AH748:AJ748"/>
    <mergeCell ref="AE567:AH567"/>
    <mergeCell ref="G601:R601"/>
    <mergeCell ref="AA932:AF932"/>
    <mergeCell ref="CG727:CH727"/>
    <mergeCell ref="ET738:EX738"/>
    <mergeCell ref="T563:V563"/>
    <mergeCell ref="O791:S794"/>
    <mergeCell ref="Z821:AE821"/>
    <mergeCell ref="H298:R298"/>
    <mergeCell ref="AE569:AH569"/>
    <mergeCell ref="EJ749:EN749"/>
    <mergeCell ref="DX656:EB656"/>
    <mergeCell ref="CG729:CH729"/>
    <mergeCell ref="EH672:EL672"/>
    <mergeCell ref="AC642:AE642"/>
    <mergeCell ref="AH743:AJ743"/>
    <mergeCell ref="K413:AJ413"/>
    <mergeCell ref="AA316:AF316"/>
    <mergeCell ref="DX658:EB658"/>
    <mergeCell ref="M964:S964"/>
    <mergeCell ref="AC521:AF521"/>
    <mergeCell ref="G654:R654"/>
    <mergeCell ref="CZ744:DD744"/>
    <mergeCell ref="Z663:AE663"/>
    <mergeCell ref="G739:J739"/>
    <mergeCell ref="ET797:EX797"/>
    <mergeCell ref="T800:W800"/>
    <mergeCell ref="AK757:AO757"/>
    <mergeCell ref="A86:AT87"/>
    <mergeCell ref="AK744:AO744"/>
    <mergeCell ref="EJ754:EN754"/>
    <mergeCell ref="ER674:EV674"/>
    <mergeCell ref="DJ802:DN802"/>
    <mergeCell ref="DO761:DS761"/>
    <mergeCell ref="Q569:S569"/>
    <mergeCell ref="A105:AT106"/>
    <mergeCell ref="AK740:AO740"/>
    <mergeCell ref="Q646:S646"/>
    <mergeCell ref="O160:T160"/>
    <mergeCell ref="AF252:AK252"/>
    <mergeCell ref="DE738:DI738"/>
    <mergeCell ref="Z256:AE256"/>
    <mergeCell ref="M257:AE257"/>
    <mergeCell ref="T189:AE189"/>
    <mergeCell ref="A89:AT90"/>
    <mergeCell ref="AB215:AL215"/>
    <mergeCell ref="G652:R652"/>
    <mergeCell ref="AK755:AO755"/>
    <mergeCell ref="DZ747:ED747"/>
    <mergeCell ref="AC523:AF523"/>
    <mergeCell ref="M637:P637"/>
    <mergeCell ref="T798:W798"/>
    <mergeCell ref="DZ741:ED741"/>
    <mergeCell ref="EC657:EG657"/>
    <mergeCell ref="AC759:AG759"/>
    <mergeCell ref="CP737:CT737"/>
    <mergeCell ref="AC753:AG753"/>
    <mergeCell ref="DJ785:DN785"/>
    <mergeCell ref="Z596:AK596"/>
    <mergeCell ref="DZ760:ED760"/>
    <mergeCell ref="A1076:B1076"/>
    <mergeCell ref="FT759:FX759"/>
    <mergeCell ref="O155:AH155"/>
    <mergeCell ref="AA298:AK298"/>
    <mergeCell ref="AC508:AF508"/>
    <mergeCell ref="EO795:ES795"/>
    <mergeCell ref="Z651:AK651"/>
    <mergeCell ref="CG745:CH745"/>
    <mergeCell ref="CZ783:DD783"/>
    <mergeCell ref="AH732:AJ732"/>
    <mergeCell ref="AA929:AF929"/>
    <mergeCell ref="EZ736:FD736"/>
    <mergeCell ref="AK742:AO742"/>
    <mergeCell ref="P356:Z356"/>
    <mergeCell ref="Z659:AK659"/>
    <mergeCell ref="AE572:AH572"/>
    <mergeCell ref="Z653:AK653"/>
    <mergeCell ref="AE566:AH566"/>
    <mergeCell ref="FT745:FX745"/>
    <mergeCell ref="A291:AT292"/>
    <mergeCell ref="AJ1062:AQ1062"/>
    <mergeCell ref="CI728:CJ728"/>
    <mergeCell ref="AC735:AG735"/>
    <mergeCell ref="ET795:EX795"/>
    <mergeCell ref="U944:Z944"/>
    <mergeCell ref="DJ757:DN757"/>
    <mergeCell ref="Z571:AD571"/>
    <mergeCell ref="H299:R299"/>
    <mergeCell ref="CZ802:DD802"/>
    <mergeCell ref="G738:J738"/>
    <mergeCell ref="AI237:AJ237"/>
    <mergeCell ref="AC644:AE644"/>
    <mergeCell ref="W887:AC887"/>
    <mergeCell ref="U935:Z935"/>
    <mergeCell ref="EM653:EQ653"/>
    <mergeCell ref="CK727:CL727"/>
    <mergeCell ref="DO798:DS798"/>
    <mergeCell ref="AC522:AF522"/>
    <mergeCell ref="K737:N737"/>
    <mergeCell ref="AC740:AG740"/>
    <mergeCell ref="B761:F761"/>
    <mergeCell ref="DO732:DS732"/>
    <mergeCell ref="X803:AB803"/>
    <mergeCell ref="EH655:EL655"/>
    <mergeCell ref="CZ796:DD796"/>
    <mergeCell ref="DZ740:ED740"/>
    <mergeCell ref="DZ753:ED753"/>
    <mergeCell ref="F946:T946"/>
    <mergeCell ref="DZ804:ED804"/>
    <mergeCell ref="EJ795:EN795"/>
    <mergeCell ref="AC752:AG752"/>
    <mergeCell ref="EO745:ES745"/>
    <mergeCell ref="C904:AB904"/>
    <mergeCell ref="AF582:AK582"/>
    <mergeCell ref="W878:AC878"/>
    <mergeCell ref="AC727:AG727"/>
    <mergeCell ref="K750:N750"/>
    <mergeCell ref="CG753:CH753"/>
    <mergeCell ref="DZ751:ED751"/>
    <mergeCell ref="M886:V886"/>
    <mergeCell ref="CK729:CL729"/>
    <mergeCell ref="EO729:ES729"/>
    <mergeCell ref="CU741:CY741"/>
    <mergeCell ref="W876:AC876"/>
    <mergeCell ref="AA1066:AF1066"/>
    <mergeCell ref="M253:AE253"/>
    <mergeCell ref="T212:U212"/>
    <mergeCell ref="AA266:AK266"/>
    <mergeCell ref="AA982:AG982"/>
    <mergeCell ref="U952:Z952"/>
    <mergeCell ref="AC730:AG730"/>
    <mergeCell ref="DU761:DY761"/>
    <mergeCell ref="H346:R346"/>
    <mergeCell ref="H688:R688"/>
    <mergeCell ref="H680:R680"/>
    <mergeCell ref="Z573:AD573"/>
    <mergeCell ref="AF1035:AI1035"/>
    <mergeCell ref="D447:AF447"/>
    <mergeCell ref="AG399:AJ399"/>
    <mergeCell ref="P348:R348"/>
    <mergeCell ref="L285:S285"/>
    <mergeCell ref="AB997:AI997"/>
    <mergeCell ref="CM726:CN726"/>
    <mergeCell ref="AC837:AF837"/>
    <mergeCell ref="AE570:AH570"/>
    <mergeCell ref="AC380:AF380"/>
    <mergeCell ref="X799:AB799"/>
    <mergeCell ref="W642:Y642"/>
    <mergeCell ref="CP750:CT750"/>
    <mergeCell ref="DJ798:DN798"/>
    <mergeCell ref="CZ756:DD756"/>
    <mergeCell ref="D1050:AE1050"/>
    <mergeCell ref="X739:AB739"/>
    <mergeCell ref="AA959:AF959"/>
    <mergeCell ref="Z691:AK691"/>
    <mergeCell ref="Z643:AB643"/>
    <mergeCell ref="Z205:AN205"/>
    <mergeCell ref="H672:R672"/>
    <mergeCell ref="AA948:AF948"/>
    <mergeCell ref="AA942:AF942"/>
    <mergeCell ref="AA664:AK664"/>
    <mergeCell ref="X746:AB746"/>
    <mergeCell ref="DZ732:ED732"/>
    <mergeCell ref="G678:R678"/>
    <mergeCell ref="T559:V561"/>
    <mergeCell ref="CU747:CY747"/>
    <mergeCell ref="A552:AT553"/>
    <mergeCell ref="M646:P646"/>
    <mergeCell ref="V225:W225"/>
    <mergeCell ref="AC791:AG794"/>
    <mergeCell ref="P316:R316"/>
    <mergeCell ref="L286:AD286"/>
    <mergeCell ref="AK638:AN638"/>
    <mergeCell ref="EC652:EG652"/>
    <mergeCell ref="EC646:EG646"/>
    <mergeCell ref="U838:X838"/>
    <mergeCell ref="G595:R595"/>
    <mergeCell ref="AH755:AJ755"/>
    <mergeCell ref="CG734:CH734"/>
    <mergeCell ref="X727:AB727"/>
    <mergeCell ref="X801:AB801"/>
    <mergeCell ref="EC654:EG654"/>
    <mergeCell ref="W482:Y482"/>
    <mergeCell ref="CU737:CY737"/>
    <mergeCell ref="Q839:T839"/>
    <mergeCell ref="Z559:AD561"/>
    <mergeCell ref="B525:H527"/>
    <mergeCell ref="EE726:EI726"/>
    <mergeCell ref="EH663:EL663"/>
    <mergeCell ref="T758:W758"/>
    <mergeCell ref="AC512:AF512"/>
    <mergeCell ref="DU805:DY805"/>
    <mergeCell ref="EJ727:EN727"/>
    <mergeCell ref="U840:X840"/>
    <mergeCell ref="AH761:AJ761"/>
    <mergeCell ref="FO760:FS760"/>
    <mergeCell ref="M567:P567"/>
    <mergeCell ref="CP739:CT739"/>
    <mergeCell ref="ER644:EV644"/>
    <mergeCell ref="W570:Y570"/>
    <mergeCell ref="AH540:AK540"/>
    <mergeCell ref="CG756:CH756"/>
    <mergeCell ref="O738:S738"/>
    <mergeCell ref="EM665:EQ665"/>
    <mergeCell ref="DU796:DY796"/>
    <mergeCell ref="AO640:AS640"/>
    <mergeCell ref="DO782:DS782"/>
    <mergeCell ref="AC539:AF539"/>
    <mergeCell ref="AI567:AL567"/>
    <mergeCell ref="ER643:EV643"/>
    <mergeCell ref="EZ755:FD755"/>
    <mergeCell ref="EZ732:FD732"/>
    <mergeCell ref="EC647:EG647"/>
    <mergeCell ref="P671:R671"/>
    <mergeCell ref="J805:N805"/>
    <mergeCell ref="AG681:AH681"/>
    <mergeCell ref="P663:R663"/>
    <mergeCell ref="B559:L561"/>
    <mergeCell ref="FJ760:FN760"/>
    <mergeCell ref="Q838:T838"/>
    <mergeCell ref="C1093:D1093"/>
    <mergeCell ref="FY725:GC725"/>
    <mergeCell ref="DJ738:DN738"/>
    <mergeCell ref="EZ753:FD753"/>
    <mergeCell ref="B759:F759"/>
    <mergeCell ref="O795:S795"/>
    <mergeCell ref="DU736:DY736"/>
    <mergeCell ref="G482:V482"/>
    <mergeCell ref="ER645:EV645"/>
    <mergeCell ref="P300:R300"/>
    <mergeCell ref="AO632:AS634"/>
    <mergeCell ref="N665:O665"/>
    <mergeCell ref="T745:W745"/>
    <mergeCell ref="H350:R350"/>
    <mergeCell ref="CI748:CJ748"/>
    <mergeCell ref="ER670:EV670"/>
    <mergeCell ref="FY738:GC738"/>
    <mergeCell ref="AC755:AG755"/>
    <mergeCell ref="CI746:CJ746"/>
    <mergeCell ref="CP741:CT741"/>
    <mergeCell ref="AC757:AG757"/>
    <mergeCell ref="N372:O372"/>
    <mergeCell ref="AG402:AJ402"/>
    <mergeCell ref="DJ781:DN781"/>
    <mergeCell ref="FY757:GC757"/>
    <mergeCell ref="DJ753:DN753"/>
    <mergeCell ref="Z567:AD567"/>
    <mergeCell ref="AH538:AK538"/>
    <mergeCell ref="P352:AE352"/>
    <mergeCell ref="CI730:CJ730"/>
    <mergeCell ref="EE741:EI741"/>
    <mergeCell ref="AI332:AK332"/>
    <mergeCell ref="C1102:D1102"/>
    <mergeCell ref="U937:Z937"/>
    <mergeCell ref="C1096:D1096"/>
    <mergeCell ref="AG453:AJ453"/>
    <mergeCell ref="M256:R256"/>
    <mergeCell ref="F925:T926"/>
    <mergeCell ref="AI559:AL561"/>
    <mergeCell ref="CI735:CJ735"/>
    <mergeCell ref="AC896:AH896"/>
    <mergeCell ref="B733:F733"/>
    <mergeCell ref="B648:AN648"/>
    <mergeCell ref="DU739:DY739"/>
    <mergeCell ref="H664:R664"/>
    <mergeCell ref="CI737:CJ737"/>
    <mergeCell ref="CZ746:DD746"/>
    <mergeCell ref="C1097:D1097"/>
    <mergeCell ref="AG448:AJ448"/>
    <mergeCell ref="G749:J749"/>
    <mergeCell ref="Z677:AK677"/>
    <mergeCell ref="AK734:AO734"/>
    <mergeCell ref="AF635:AJ635"/>
    <mergeCell ref="Q438:R438"/>
    <mergeCell ref="M365:N365"/>
    <mergeCell ref="S410:U410"/>
    <mergeCell ref="AC900:AH900"/>
    <mergeCell ref="AA935:AF935"/>
    <mergeCell ref="BD912:BE912"/>
    <mergeCell ref="AC543:AF543"/>
    <mergeCell ref="AC897:AH897"/>
    <mergeCell ref="K739:N739"/>
    <mergeCell ref="AC541:AF541"/>
    <mergeCell ref="C569:L569"/>
    <mergeCell ref="T190:AE190"/>
    <mergeCell ref="AH513:AK513"/>
    <mergeCell ref="CZ760:DD760"/>
    <mergeCell ref="ET754:EX754"/>
    <mergeCell ref="T757:W757"/>
    <mergeCell ref="T756:W756"/>
    <mergeCell ref="M258:T258"/>
    <mergeCell ref="M268:AE268"/>
    <mergeCell ref="M562:P562"/>
    <mergeCell ref="FE748:FI748"/>
    <mergeCell ref="AA346:AK346"/>
    <mergeCell ref="O752:S752"/>
    <mergeCell ref="M559:P561"/>
    <mergeCell ref="K741:N741"/>
    <mergeCell ref="CP728:CT728"/>
    <mergeCell ref="AC744:AG744"/>
    <mergeCell ref="Z587:AK587"/>
    <mergeCell ref="AK732:AO732"/>
    <mergeCell ref="W480:Y480"/>
    <mergeCell ref="AE433:AF433"/>
    <mergeCell ref="AG450:AJ450"/>
    <mergeCell ref="EC658:EG658"/>
    <mergeCell ref="ET745:EX745"/>
    <mergeCell ref="CZ730:DD730"/>
    <mergeCell ref="DX668:EB668"/>
    <mergeCell ref="EH675:EL675"/>
    <mergeCell ref="M264:R264"/>
    <mergeCell ref="H315:R315"/>
    <mergeCell ref="EE752:EI752"/>
    <mergeCell ref="DO747:DS747"/>
    <mergeCell ref="DO741:DS741"/>
    <mergeCell ref="ER658:EV658"/>
    <mergeCell ref="EW648:FA648"/>
    <mergeCell ref="EJ738:EN738"/>
    <mergeCell ref="EW650:FA650"/>
    <mergeCell ref="EZ737:FD737"/>
    <mergeCell ref="AG623:AH623"/>
    <mergeCell ref="EZ734:FD734"/>
    <mergeCell ref="M834:P834"/>
    <mergeCell ref="V397:AJ397"/>
    <mergeCell ref="D208:M208"/>
    <mergeCell ref="W243:X243"/>
    <mergeCell ref="J785:N785"/>
    <mergeCell ref="EO803:ES803"/>
    <mergeCell ref="G578:R578"/>
    <mergeCell ref="P427:R427"/>
    <mergeCell ref="FE727:FI727"/>
    <mergeCell ref="EE795:EI795"/>
    <mergeCell ref="H332:M332"/>
    <mergeCell ref="Z443:AA443"/>
    <mergeCell ref="ET749:EX749"/>
    <mergeCell ref="DZ750:ED750"/>
    <mergeCell ref="EO733:ES733"/>
    <mergeCell ref="ER669:EV669"/>
    <mergeCell ref="X737:AB737"/>
    <mergeCell ref="AG697:AH697"/>
    <mergeCell ref="AC733:AG733"/>
    <mergeCell ref="G589:L589"/>
    <mergeCell ref="Z646:AB646"/>
    <mergeCell ref="CP727:CT727"/>
    <mergeCell ref="J783:N783"/>
    <mergeCell ref="CK754:CL754"/>
    <mergeCell ref="CI750:CJ750"/>
    <mergeCell ref="AC510:AF510"/>
    <mergeCell ref="U934:Z934"/>
    <mergeCell ref="K748:N748"/>
    <mergeCell ref="Z908:AE908"/>
    <mergeCell ref="U931:Z931"/>
    <mergeCell ref="CM735:CN735"/>
    <mergeCell ref="EH643:EL643"/>
    <mergeCell ref="DJ750:DN750"/>
    <mergeCell ref="ER651:EV651"/>
    <mergeCell ref="CP731:CT731"/>
    <mergeCell ref="EJ725:EN725"/>
    <mergeCell ref="DJ803:DN803"/>
    <mergeCell ref="CP784:CT784"/>
    <mergeCell ref="CU750:CY750"/>
    <mergeCell ref="DO785:DS785"/>
    <mergeCell ref="CU748:CY748"/>
    <mergeCell ref="DE783:DI783"/>
    <mergeCell ref="EC651:EG651"/>
    <mergeCell ref="K738:N738"/>
    <mergeCell ref="M880:V880"/>
    <mergeCell ref="O754:S754"/>
    <mergeCell ref="DZ796:ED796"/>
    <mergeCell ref="DO800:DS800"/>
    <mergeCell ref="X758:AB758"/>
    <mergeCell ref="AH751:AJ751"/>
    <mergeCell ref="ET739:EX739"/>
    <mergeCell ref="DX672:EB672"/>
    <mergeCell ref="EH677:EL677"/>
    <mergeCell ref="W875:AC875"/>
    <mergeCell ref="DX664:EB664"/>
    <mergeCell ref="DZ798:ED798"/>
    <mergeCell ref="EM667:EQ667"/>
    <mergeCell ref="K747:N747"/>
    <mergeCell ref="M854:V854"/>
    <mergeCell ref="FY758:GC758"/>
    <mergeCell ref="V227:W227"/>
    <mergeCell ref="DZ743:ED743"/>
    <mergeCell ref="CK740:CL740"/>
    <mergeCell ref="AG837:AJ837"/>
    <mergeCell ref="AC632:AE634"/>
    <mergeCell ref="T646:V646"/>
    <mergeCell ref="EW662:FA662"/>
    <mergeCell ref="Z610:AK610"/>
    <mergeCell ref="O730:S730"/>
    <mergeCell ref="S411:U411"/>
    <mergeCell ref="DE781:DI781"/>
    <mergeCell ref="EW677:FA677"/>
    <mergeCell ref="FE734:FI734"/>
    <mergeCell ref="AO644:AS644"/>
    <mergeCell ref="O732:S732"/>
    <mergeCell ref="AH508:AK508"/>
    <mergeCell ref="X748:AB748"/>
    <mergeCell ref="FY756:GC756"/>
    <mergeCell ref="EW661:FA661"/>
    <mergeCell ref="EO737:ES737"/>
    <mergeCell ref="DO745:DS745"/>
    <mergeCell ref="DJ746:DN746"/>
    <mergeCell ref="DX670:EB670"/>
    <mergeCell ref="AA622:AK622"/>
    <mergeCell ref="FE729:FI729"/>
    <mergeCell ref="FE737:FI737"/>
    <mergeCell ref="FJ730:FN730"/>
    <mergeCell ref="FY745:GC745"/>
    <mergeCell ref="DO762:DS762"/>
    <mergeCell ref="CM748:CN748"/>
    <mergeCell ref="FJ741:FN741"/>
    <mergeCell ref="FO747:FS747"/>
    <mergeCell ref="FE759:FI759"/>
    <mergeCell ref="FO751:FS751"/>
    <mergeCell ref="FY741:GC741"/>
    <mergeCell ref="FO732:FS732"/>
    <mergeCell ref="FY729:GC729"/>
    <mergeCell ref="FT725:FX725"/>
    <mergeCell ref="FT738:FX738"/>
    <mergeCell ref="FJ727:FN727"/>
    <mergeCell ref="FO738:FS738"/>
    <mergeCell ref="FT731:FX731"/>
    <mergeCell ref="FO740:FS740"/>
    <mergeCell ref="FO750:FS750"/>
    <mergeCell ref="FJ736:FN736"/>
    <mergeCell ref="CZ745:DD745"/>
    <mergeCell ref="DJ736:DN736"/>
    <mergeCell ref="FJ734:FN734"/>
    <mergeCell ref="FT732:FX732"/>
    <mergeCell ref="EZ725:FD725"/>
    <mergeCell ref="FO749:FS749"/>
    <mergeCell ref="FY748:GC748"/>
    <mergeCell ref="FY727:GC727"/>
    <mergeCell ref="FT739:FX739"/>
    <mergeCell ref="FY737:GC737"/>
    <mergeCell ref="FT757:FX757"/>
    <mergeCell ref="FY752:GC752"/>
    <mergeCell ref="EO753:ES753"/>
    <mergeCell ref="EO732:ES732"/>
    <mergeCell ref="EJ753:EN753"/>
    <mergeCell ref="FT755:FX755"/>
    <mergeCell ref="FO756:FS756"/>
    <mergeCell ref="D1016:AE1016"/>
    <mergeCell ref="T730:W730"/>
    <mergeCell ref="CM750:CN750"/>
    <mergeCell ref="DZ759:ED759"/>
    <mergeCell ref="I189:P189"/>
    <mergeCell ref="EJ750:EN750"/>
    <mergeCell ref="FY740:GC740"/>
    <mergeCell ref="DO757:DS757"/>
    <mergeCell ref="EW664:FA664"/>
    <mergeCell ref="Q565:S565"/>
    <mergeCell ref="AJ366:AK366"/>
    <mergeCell ref="Z642:AB642"/>
    <mergeCell ref="AI671:AK671"/>
    <mergeCell ref="AK722:AO725"/>
    <mergeCell ref="AG452:AJ452"/>
    <mergeCell ref="AZ859:BA859"/>
    <mergeCell ref="DE797:DI797"/>
    <mergeCell ref="W711:AK711"/>
    <mergeCell ref="Z644:AB644"/>
    <mergeCell ref="FJ726:FN726"/>
    <mergeCell ref="CU739:CY739"/>
    <mergeCell ref="EZ757:FD757"/>
    <mergeCell ref="D1003:AE1003"/>
    <mergeCell ref="CM737:CN737"/>
    <mergeCell ref="Z667:AK667"/>
    <mergeCell ref="O543:AA543"/>
    <mergeCell ref="CU726:CY726"/>
    <mergeCell ref="Z264:AE264"/>
    <mergeCell ref="EM652:EQ652"/>
    <mergeCell ref="DE810:DI810"/>
    <mergeCell ref="CK756:CL756"/>
    <mergeCell ref="FE736:FI736"/>
    <mergeCell ref="AJ1034:AQ1037"/>
    <mergeCell ref="AH516:AK516"/>
    <mergeCell ref="AC899:AH899"/>
    <mergeCell ref="R994:AA994"/>
    <mergeCell ref="CM752:CN752"/>
    <mergeCell ref="Z661:AK661"/>
    <mergeCell ref="T726:W726"/>
    <mergeCell ref="CM746:CN746"/>
    <mergeCell ref="AK736:AO736"/>
    <mergeCell ref="AC898:AH898"/>
    <mergeCell ref="AE971:AK971"/>
    <mergeCell ref="AK735:AO735"/>
    <mergeCell ref="BD916:BE916"/>
    <mergeCell ref="AE710:AF710"/>
    <mergeCell ref="CK741:CL741"/>
    <mergeCell ref="CG728:CH728"/>
    <mergeCell ref="AK759:AO759"/>
    <mergeCell ref="G610:R610"/>
    <mergeCell ref="AK738:AO738"/>
    <mergeCell ref="AE568:AH568"/>
    <mergeCell ref="N697:O697"/>
    <mergeCell ref="T752:W752"/>
    <mergeCell ref="AC894:AH894"/>
    <mergeCell ref="CI761:CJ761"/>
    <mergeCell ref="Q559:S561"/>
    <mergeCell ref="M582:R582"/>
    <mergeCell ref="P621:R621"/>
    <mergeCell ref="C806:AN807"/>
    <mergeCell ref="AH722:AJ725"/>
    <mergeCell ref="N591:O591"/>
    <mergeCell ref="P655:R655"/>
    <mergeCell ref="AI572:AL572"/>
    <mergeCell ref="D998:Q998"/>
    <mergeCell ref="AC743:AG743"/>
    <mergeCell ref="AA957:AF957"/>
    <mergeCell ref="D1004:AE1007"/>
    <mergeCell ref="Q834:T834"/>
    <mergeCell ref="B755:F755"/>
    <mergeCell ref="AA344:AK344"/>
    <mergeCell ref="T982:Z982"/>
    <mergeCell ref="AA977:AG977"/>
    <mergeCell ref="Y840:AB840"/>
    <mergeCell ref="O756:S756"/>
    <mergeCell ref="D448:AF448"/>
    <mergeCell ref="AI655:AK655"/>
    <mergeCell ref="AE411:AJ411"/>
    <mergeCell ref="M270:T270"/>
    <mergeCell ref="T796:W796"/>
    <mergeCell ref="C837:H837"/>
    <mergeCell ref="B741:F741"/>
    <mergeCell ref="AA334:AK334"/>
    <mergeCell ref="M571:P571"/>
    <mergeCell ref="AG455:AJ455"/>
    <mergeCell ref="O534:AA534"/>
    <mergeCell ref="X729:AB729"/>
    <mergeCell ref="A360:AT361"/>
    <mergeCell ref="AF427:AH427"/>
    <mergeCell ref="M971:S971"/>
    <mergeCell ref="L289:AD289"/>
    <mergeCell ref="AA321:AK321"/>
    <mergeCell ref="Q563:S563"/>
    <mergeCell ref="AG457:AJ457"/>
    <mergeCell ref="AA330:AK330"/>
    <mergeCell ref="AA305:AK305"/>
    <mergeCell ref="AJ1038:AQ1040"/>
    <mergeCell ref="AC220:AQ220"/>
    <mergeCell ref="O153:AH153"/>
    <mergeCell ref="AA297:AK297"/>
    <mergeCell ref="T195:U195"/>
    <mergeCell ref="T197:U197"/>
    <mergeCell ref="A169:AT170"/>
    <mergeCell ref="Q502:AK502"/>
    <mergeCell ref="AG400:AJ400"/>
    <mergeCell ref="L283:AJ283"/>
    <mergeCell ref="DZ800:ED800"/>
    <mergeCell ref="O758:S758"/>
    <mergeCell ref="EO747:ES747"/>
    <mergeCell ref="AJ1016:AQ1019"/>
    <mergeCell ref="C838:H838"/>
    <mergeCell ref="DJ783:DN783"/>
    <mergeCell ref="G732:J732"/>
    <mergeCell ref="Z660:AK660"/>
    <mergeCell ref="N657:O657"/>
    <mergeCell ref="W860:AC860"/>
    <mergeCell ref="AJ996:AQ996"/>
    <mergeCell ref="AA980:AG980"/>
    <mergeCell ref="J795:N795"/>
    <mergeCell ref="W159:X159"/>
    <mergeCell ref="AH196:AI196"/>
    <mergeCell ref="AF1032:AI1033"/>
    <mergeCell ref="G755:J755"/>
    <mergeCell ref="B742:F742"/>
    <mergeCell ref="U943:Z943"/>
    <mergeCell ref="M968:S968"/>
    <mergeCell ref="CZ795:DD795"/>
    <mergeCell ref="O785:S785"/>
    <mergeCell ref="C1104:D1104"/>
    <mergeCell ref="R713:T713"/>
    <mergeCell ref="K733:N733"/>
    <mergeCell ref="J395:U395"/>
    <mergeCell ref="AA944:AF944"/>
    <mergeCell ref="AC738:AG738"/>
    <mergeCell ref="F935:T935"/>
    <mergeCell ref="CZ782:DD782"/>
    <mergeCell ref="J787:K787"/>
    <mergeCell ref="AA341:AF341"/>
    <mergeCell ref="AG839:AJ839"/>
    <mergeCell ref="AA981:AG981"/>
    <mergeCell ref="G694:R694"/>
    <mergeCell ref="AJ1050:AQ1053"/>
    <mergeCell ref="CP804:CT804"/>
    <mergeCell ref="CZ801:DD801"/>
    <mergeCell ref="AK743:AO743"/>
    <mergeCell ref="O782:S782"/>
    <mergeCell ref="N381:Q381"/>
    <mergeCell ref="AC548:AF548"/>
    <mergeCell ref="W568:Y568"/>
    <mergeCell ref="AK754:AO754"/>
    <mergeCell ref="AJ997:AQ997"/>
    <mergeCell ref="AA931:AF931"/>
    <mergeCell ref="D1023:AE1024"/>
    <mergeCell ref="K731:N731"/>
    <mergeCell ref="G605:L605"/>
    <mergeCell ref="G756:J756"/>
    <mergeCell ref="F937:T937"/>
    <mergeCell ref="M636:P636"/>
    <mergeCell ref="Z580:AE580"/>
    <mergeCell ref="AI597:AK597"/>
    <mergeCell ref="A1134:B1134"/>
    <mergeCell ref="T637:V637"/>
    <mergeCell ref="X795:AB795"/>
    <mergeCell ref="Y833:AB833"/>
    <mergeCell ref="G751:J751"/>
    <mergeCell ref="J781:N781"/>
    <mergeCell ref="EO750:ES750"/>
    <mergeCell ref="EH673:EL673"/>
    <mergeCell ref="EJ735:EN735"/>
    <mergeCell ref="A1112:B1112"/>
    <mergeCell ref="DU752:DY752"/>
    <mergeCell ref="EE743:EI743"/>
    <mergeCell ref="DO760:DS760"/>
    <mergeCell ref="CU728:CY728"/>
    <mergeCell ref="EO731:ES731"/>
    <mergeCell ref="EO760:ES760"/>
    <mergeCell ref="AH744:AJ744"/>
    <mergeCell ref="AC645:AE645"/>
    <mergeCell ref="AA1065:AF1065"/>
    <mergeCell ref="CK745:CL745"/>
    <mergeCell ref="D995:Q995"/>
    <mergeCell ref="O734:S734"/>
    <mergeCell ref="AC831:AF832"/>
    <mergeCell ref="AA976:AG976"/>
    <mergeCell ref="CZ800:DD800"/>
    <mergeCell ref="AJ1054:AQ1057"/>
    <mergeCell ref="EJ739:EN739"/>
    <mergeCell ref="DO746:DS746"/>
    <mergeCell ref="AJ999:AQ999"/>
    <mergeCell ref="DZ744:ED744"/>
    <mergeCell ref="EJ741:EN741"/>
    <mergeCell ref="C637:L637"/>
    <mergeCell ref="FJ743:FN743"/>
    <mergeCell ref="AK752:AO752"/>
    <mergeCell ref="DX657:EB657"/>
    <mergeCell ref="CP785:CT785"/>
    <mergeCell ref="AC801:AG801"/>
    <mergeCell ref="Z563:AD563"/>
    <mergeCell ref="AM569:AS569"/>
    <mergeCell ref="EO752:ES752"/>
    <mergeCell ref="Z604:AK604"/>
    <mergeCell ref="EE740:EI740"/>
    <mergeCell ref="EE728:EI728"/>
    <mergeCell ref="EW676:FA676"/>
    <mergeCell ref="EW670:FA670"/>
    <mergeCell ref="DU743:DY743"/>
    <mergeCell ref="EC648:EG648"/>
    <mergeCell ref="DJ752:DN752"/>
    <mergeCell ref="EM674:EQ674"/>
    <mergeCell ref="EC649:EG649"/>
    <mergeCell ref="CU735:CY735"/>
    <mergeCell ref="FE726:FI726"/>
    <mergeCell ref="FE747:FI747"/>
    <mergeCell ref="EZ743:FD743"/>
    <mergeCell ref="FE744:FI744"/>
    <mergeCell ref="Z636:AB636"/>
    <mergeCell ref="AI568:AL568"/>
    <mergeCell ref="CG732:CH732"/>
    <mergeCell ref="CG759:CH759"/>
    <mergeCell ref="AH752:AJ752"/>
    <mergeCell ref="DJ801:DN801"/>
    <mergeCell ref="ER648:EV648"/>
    <mergeCell ref="EJ728:EN728"/>
    <mergeCell ref="FJ754:FN754"/>
    <mergeCell ref="A60:AT61"/>
    <mergeCell ref="ER654:EV654"/>
    <mergeCell ref="AA322:AK322"/>
    <mergeCell ref="AC262:AE262"/>
    <mergeCell ref="Y120:AK120"/>
    <mergeCell ref="AC356:AE356"/>
    <mergeCell ref="H338:R338"/>
    <mergeCell ref="C565:L565"/>
    <mergeCell ref="ET731:EX731"/>
    <mergeCell ref="EZ733:FD733"/>
    <mergeCell ref="EW659:FA659"/>
    <mergeCell ref="DJ733:DN733"/>
    <mergeCell ref="EE730:EI730"/>
    <mergeCell ref="ER668:EV668"/>
    <mergeCell ref="A79:AT81"/>
    <mergeCell ref="AA336:AK336"/>
    <mergeCell ref="DG122:DM122"/>
    <mergeCell ref="ET728:EX728"/>
    <mergeCell ref="J174:AB174"/>
    <mergeCell ref="L113:O113"/>
    <mergeCell ref="U175:V175"/>
    <mergeCell ref="AC394:AJ394"/>
    <mergeCell ref="AH733:AJ733"/>
    <mergeCell ref="EW674:FA674"/>
    <mergeCell ref="CP726:CT726"/>
    <mergeCell ref="AF439:AG439"/>
    <mergeCell ref="Z585:AK585"/>
    <mergeCell ref="CM733:CN733"/>
    <mergeCell ref="AH523:AK523"/>
    <mergeCell ref="C643:L643"/>
    <mergeCell ref="AI569:AL569"/>
    <mergeCell ref="G613:L613"/>
    <mergeCell ref="FT748:FX748"/>
    <mergeCell ref="AH539:AK539"/>
    <mergeCell ref="J397:U397"/>
    <mergeCell ref="EH662:EL662"/>
    <mergeCell ref="CZ784:DD784"/>
    <mergeCell ref="CP758:CT758"/>
    <mergeCell ref="CI731:CJ731"/>
    <mergeCell ref="O804:S804"/>
    <mergeCell ref="ER653:EV653"/>
    <mergeCell ref="FJ759:FN759"/>
    <mergeCell ref="AJ1041:AQ1044"/>
    <mergeCell ref="ER652:EV652"/>
    <mergeCell ref="CP751:CT751"/>
    <mergeCell ref="EJ726:EN726"/>
    <mergeCell ref="DO733:DS733"/>
    <mergeCell ref="J777:N780"/>
    <mergeCell ref="FT730:FX730"/>
    <mergeCell ref="G760:J760"/>
    <mergeCell ref="AC904:AH904"/>
    <mergeCell ref="CP740:CT740"/>
    <mergeCell ref="T748:W748"/>
    <mergeCell ref="CP757:CT757"/>
    <mergeCell ref="Z826:AE826"/>
    <mergeCell ref="CM728:CN728"/>
    <mergeCell ref="EO749:ES749"/>
    <mergeCell ref="C774:AR776"/>
    <mergeCell ref="EM672:EQ672"/>
    <mergeCell ref="AH521:AK521"/>
    <mergeCell ref="T573:V573"/>
    <mergeCell ref="AC535:AF535"/>
    <mergeCell ref="DX655:EB655"/>
    <mergeCell ref="AH547:AK547"/>
    <mergeCell ref="FJ761:FN761"/>
    <mergeCell ref="P430:R430"/>
    <mergeCell ref="AA247:AK247"/>
    <mergeCell ref="D450:AF450"/>
    <mergeCell ref="AA953:AF953"/>
    <mergeCell ref="C639:L639"/>
    <mergeCell ref="AE434:AF434"/>
    <mergeCell ref="DJ735:DN735"/>
    <mergeCell ref="E1106:AR1107"/>
    <mergeCell ref="T803:W803"/>
    <mergeCell ref="DX677:EB677"/>
    <mergeCell ref="D452:AF452"/>
    <mergeCell ref="H318:R318"/>
    <mergeCell ref="C641:L641"/>
    <mergeCell ref="DJ737:DN737"/>
    <mergeCell ref="C1085:D1085"/>
    <mergeCell ref="C1079:D1079"/>
    <mergeCell ref="CG743:CH743"/>
    <mergeCell ref="AC542:AF542"/>
    <mergeCell ref="Z612:AK612"/>
    <mergeCell ref="H320:R320"/>
    <mergeCell ref="AC840:AF840"/>
    <mergeCell ref="H314:R314"/>
    <mergeCell ref="AM571:AS571"/>
    <mergeCell ref="X802:AB802"/>
    <mergeCell ref="CZ727:DD727"/>
    <mergeCell ref="FE761:FI761"/>
    <mergeCell ref="EM654:EQ654"/>
    <mergeCell ref="D1059:AE1060"/>
    <mergeCell ref="U272:W272"/>
    <mergeCell ref="AH753:AJ753"/>
    <mergeCell ref="C1098:D1098"/>
    <mergeCell ref="A51:AT52"/>
    <mergeCell ref="AB998:AI998"/>
    <mergeCell ref="AA304:AK304"/>
    <mergeCell ref="CP744:CT744"/>
    <mergeCell ref="ET726:EX726"/>
    <mergeCell ref="T729:W729"/>
    <mergeCell ref="DJ748:DN748"/>
    <mergeCell ref="X745:AB745"/>
    <mergeCell ref="T196:U196"/>
    <mergeCell ref="T198:U198"/>
    <mergeCell ref="F953:T953"/>
    <mergeCell ref="FE755:FI755"/>
    <mergeCell ref="DZ731:ED731"/>
    <mergeCell ref="ET746:EX746"/>
    <mergeCell ref="T565:V565"/>
    <mergeCell ref="ER650:EV650"/>
    <mergeCell ref="J173:S173"/>
    <mergeCell ref="C635:L635"/>
    <mergeCell ref="L287:Q287"/>
    <mergeCell ref="AA345:AK345"/>
    <mergeCell ref="DO783:DS783"/>
    <mergeCell ref="DJ754:DN754"/>
    <mergeCell ref="ET756:EX756"/>
    <mergeCell ref="CG739:CH739"/>
    <mergeCell ref="W559:Y561"/>
    <mergeCell ref="AH271:AK271"/>
    <mergeCell ref="Z822:AE822"/>
    <mergeCell ref="Z911:AE911"/>
    <mergeCell ref="CG730:CH730"/>
    <mergeCell ref="ET741:EX741"/>
    <mergeCell ref="Z824:AE824"/>
    <mergeCell ref="B528:H550"/>
    <mergeCell ref="D455:AF455"/>
    <mergeCell ref="W877:AC877"/>
    <mergeCell ref="AC833:AF833"/>
    <mergeCell ref="M366:N366"/>
    <mergeCell ref="Z588:AK588"/>
    <mergeCell ref="W879:AC879"/>
    <mergeCell ref="K751:N751"/>
    <mergeCell ref="CU749:CY749"/>
    <mergeCell ref="DO797:DS797"/>
    <mergeCell ref="DU802:DY802"/>
    <mergeCell ref="EW658:FA658"/>
    <mergeCell ref="EM651:EQ651"/>
    <mergeCell ref="EE725:EI725"/>
    <mergeCell ref="O805:S805"/>
    <mergeCell ref="DU803:DY803"/>
    <mergeCell ref="DX675:EB675"/>
    <mergeCell ref="CK758:CL758"/>
    <mergeCell ref="AH503:AK503"/>
    <mergeCell ref="CP760:CT760"/>
    <mergeCell ref="D460:AJ461"/>
    <mergeCell ref="D474:V474"/>
    <mergeCell ref="M840:P840"/>
    <mergeCell ref="G745:J745"/>
    <mergeCell ref="G617:R617"/>
    <mergeCell ref="T777:W780"/>
    <mergeCell ref="O749:S749"/>
    <mergeCell ref="AC839:AF839"/>
    <mergeCell ref="C563:L563"/>
    <mergeCell ref="EZ752:FD752"/>
    <mergeCell ref="CG726:CH726"/>
    <mergeCell ref="EZ744:FD744"/>
    <mergeCell ref="CI760:CJ760"/>
    <mergeCell ref="AA307:AK307"/>
    <mergeCell ref="AI406:AJ406"/>
    <mergeCell ref="DE742:DI742"/>
    <mergeCell ref="DZ805:ED805"/>
    <mergeCell ref="DO755:DS755"/>
    <mergeCell ref="DE799:DI799"/>
    <mergeCell ref="D1042:AE1044"/>
    <mergeCell ref="EJ743:EN743"/>
    <mergeCell ref="EC666:EG666"/>
    <mergeCell ref="K753:N753"/>
    <mergeCell ref="CZ749:DD749"/>
    <mergeCell ref="W569:Y569"/>
    <mergeCell ref="AI324:AK324"/>
    <mergeCell ref="H347:R347"/>
    <mergeCell ref="H322:R322"/>
    <mergeCell ref="EE753:EI753"/>
    <mergeCell ref="CP747:CT747"/>
    <mergeCell ref="A717:AT719"/>
    <mergeCell ref="U955:Z955"/>
    <mergeCell ref="U949:Z949"/>
    <mergeCell ref="CI747:CJ747"/>
    <mergeCell ref="DJ797:DN797"/>
    <mergeCell ref="CZ731:DD731"/>
    <mergeCell ref="EM673:EQ673"/>
    <mergeCell ref="EO735:ES735"/>
    <mergeCell ref="DE795:DI795"/>
    <mergeCell ref="H337:R337"/>
    <mergeCell ref="H339:R339"/>
    <mergeCell ref="K756:N756"/>
    <mergeCell ref="D457:AF457"/>
    <mergeCell ref="AG446:AJ446"/>
    <mergeCell ref="AB1000:AI1000"/>
    <mergeCell ref="C1076:D1076"/>
    <mergeCell ref="M976:S976"/>
    <mergeCell ref="O741:S741"/>
    <mergeCell ref="EO748:ES748"/>
    <mergeCell ref="T639:V639"/>
    <mergeCell ref="EE750:EI750"/>
    <mergeCell ref="CP742:CT742"/>
    <mergeCell ref="EC677:EG677"/>
    <mergeCell ref="CI749:CJ749"/>
    <mergeCell ref="D1034:AE1034"/>
    <mergeCell ref="C1074:D1074"/>
    <mergeCell ref="M967:S967"/>
    <mergeCell ref="Z825:AE825"/>
    <mergeCell ref="DJ734:DN734"/>
    <mergeCell ref="AC524:AF524"/>
    <mergeCell ref="AA951:AF951"/>
    <mergeCell ref="Z586:AK586"/>
    <mergeCell ref="AG1050:AH1050"/>
    <mergeCell ref="AH541:AK541"/>
    <mergeCell ref="B757:F757"/>
    <mergeCell ref="DZ749:ED749"/>
    <mergeCell ref="DO781:DS781"/>
    <mergeCell ref="G604:R604"/>
    <mergeCell ref="Z909:AE909"/>
    <mergeCell ref="DJ810:DN810"/>
    <mergeCell ref="EJ805:EN805"/>
    <mergeCell ref="X1061:Y1061"/>
    <mergeCell ref="AC531:AF531"/>
    <mergeCell ref="AJ1001:AQ1001"/>
    <mergeCell ref="M977:S977"/>
    <mergeCell ref="AC737:AG737"/>
    <mergeCell ref="W567:Y567"/>
  </mergeCells>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A1074:B1074 A1076:B1076 A1079:B1079 A1084:B1084 A1090:B1090 A1094:B1094 A1098:B1098 A1103:B1103 A1106:B1106 A1109:B1109 A1112:B1112 A1134:B1134 M364:N367 R420:S421 S422:T422 AE434:AF434" xr:uid="{00000000-0002-0000-0300-000000000000}">
      <formula1>"N/A, Yes"</formula1>
    </dataValidation>
    <dataValidation type="list" allowBlank="1" showInputMessage="1" showErrorMessage="1" sqref="N583 N591 N599 N607 N615 N623 N657 N665 N673 N681 N689 N697 O33:P33 O983 R177 T195:T197 T199:T200 V224:V229 X180 AG583 AG591 AG599 AG607 AG615 AG623 AG657 AG665 AG673 AG681 AG689 AG697 AH194 AP205" xr:uid="{00000000-0002-0000-0300-000001000000}">
      <formula1>"Yes, No"</formula1>
    </dataValidation>
    <dataValidation type="list" allowBlank="1" showInputMessage="1" showErrorMessage="1" sqref="Q497 AG1003 AG1010 AG1016 AG1020 AG1022 AG1025 AG1029 AG1034 AG1038 AG1041 AG1045 AG1050" xr:uid="{00000000-0002-0000-0300-000002000000}">
      <formula1>"Yes,No"</formula1>
    </dataValidation>
    <dataValidation type="list" allowBlank="1" showInputMessage="1" showErrorMessage="1" sqref="J1033" xr:uid="{00000000-0002-0000-0300-000003000000}">
      <formula1>"N/A,Seismic Upgrading, Environmental Mitigation"</formula1>
    </dataValidation>
    <dataValidation type="list" showInputMessage="1" showErrorMessage="1" sqref="Z281:AD281" xr:uid="{00000000-0002-0000-0300-000004000000}">
      <formula1>"Nonprofit, For-Profit, N/A"</formula1>
    </dataValidation>
    <dataValidation type="list" allowBlank="1" showInputMessage="1" showErrorMessage="1" sqref="Q438:R438 Z441:AA441 AE701:AF702 AE710:AF710 AI398:AJ398 AI401:AJ401 AI406:AJ406" xr:uid="{00000000-0002-0000-0300-000005000000}">
      <formula1>"No, Yes"</formula1>
    </dataValidation>
    <dataValidation type="decimal" allowBlank="1" showInputMessage="1" showErrorMessage="1" error="example: enter 30 for 30%, hit cancel and try again._x000a_" sqref="AC726:AC760 AD728:AG760 AH781:AH784 AI782:AJ785 AK781:AL784" xr:uid="{00000000-0002-0000-0300-000006000000}">
      <formula1>0</formula1>
      <formula2>1</formula2>
    </dataValidation>
    <dataValidation type="list" allowBlank="1" showInputMessage="1" showErrorMessage="1" sqref="W714:AK714" xr:uid="{00000000-0002-0000-0300-000007000000}">
      <formula1>"(select one),FHA Insurance, Private Mortgage Insurance, Letter(s) of Credit, Other"</formula1>
    </dataValidation>
    <dataValidation type="list" showInputMessage="1" showErrorMessage="1" sqref="Z443 AF439" xr:uid="{00000000-0002-0000-0300-000008000000}">
      <formula1>$BN$351:$BN$353</formula1>
    </dataValidation>
    <dataValidation type="list" allowBlank="1" showInputMessage="1" showErrorMessage="1" sqref="J376:K376 N372:O372 Y373:Z373 AJ364:AK364 AJ366:AK366" xr:uid="{00000000-0002-0000-0300-000009000000}">
      <formula1>"N/A, Yes, No"</formula1>
    </dataValidation>
    <dataValidation type="list" showInputMessage="1" showErrorMessage="1" sqref="J787:K787" xr:uid="{00000000-0002-0000-0300-00000A000000}">
      <formula1>"No,Yes"</formula1>
    </dataValidation>
    <dataValidation type="list" allowBlank="1" showInputMessage="1" showErrorMessage="1" sqref="U927:U959" xr:uid="{00000000-0002-0000-0300-00000B000000}">
      <formula1>"Yes, No,N/A"</formula1>
    </dataValidation>
    <dataValidation type="list" showInputMessage="1" showErrorMessage="1" sqref="J173:S173" xr:uid="{00000000-0002-0000-0300-00000C000000}">
      <formula1>"Preliminary Reservation, Subsidy Layering, Placed in Service, Re-Application,Supplemental Allocation"</formula1>
    </dataValidation>
    <dataValidation type="whole" allowBlank="1" showInputMessage="1" showErrorMessage="1" error="Please enter a number" sqref="AH195:AI197 AH211:AI211" xr:uid="{00000000-0002-0000-0300-00000D000000}">
      <formula1>0</formula1>
      <formula2>999</formula2>
    </dataValidation>
    <dataValidation type="list" showInputMessage="1" showErrorMessage="1" sqref="D208:M208" xr:uid="{00000000-0002-0000-0300-00000E000000}">
      <formula1>"(select one),20%/50%,40%/60%,40%/60% Average Income"</formula1>
    </dataValidation>
    <dataValidation showInputMessage="1" showErrorMessage="1" sqref="W277" xr:uid="{00000000-0002-0000-0300-00000F000000}"/>
    <dataValidation type="list" allowBlank="1" showInputMessage="1" showErrorMessage="1" sqref="CU122:CV122" xr:uid="{00000000-0002-0000-0300-000010000000}">
      <formula1>$CU$124:$CU$125</formula1>
    </dataValidation>
    <dataValidation type="list" allowBlank="1" showInputMessage="1" showErrorMessage="1" sqref="M258:T258 M266:T266 M274:T274" xr:uid="{00000000-0002-0000-0300-000011000000}">
      <formula1>"(select one),Nonprofit, For Profit"</formula1>
    </dataValidation>
    <dataValidation type="list" allowBlank="1" showInputMessage="1" showErrorMessage="1" sqref="AI235:AJ238" xr:uid="{00000000-0002-0000-0300-000012000000}">
      <formula1>"N/A,Yes,"</formula1>
    </dataValidation>
    <dataValidation type="list" showInputMessage="1" showErrorMessage="1" sqref="U175:V175" xr:uid="{00000000-0002-0000-0300-000013000000}">
      <formula1>$BJ$160:$BJ$162</formula1>
    </dataValidation>
    <dataValidation type="list" allowBlank="1" showInputMessage="1" showErrorMessage="1" sqref="P954:T954 S410:U410" xr:uid="{00000000-0002-0000-0300-000014000000}">
      <formula1>"No,Yes"</formula1>
    </dataValidation>
    <dataValidation type="list" allowBlank="1" showInputMessage="1" showErrorMessage="1" sqref="M978:S978" xr:uid="{00000000-0002-0000-0300-000015000000}">
      <formula1>"N/A,IRP,Decoupled IRP"</formula1>
    </dataValidation>
    <dataValidation type="list" allowBlank="1" showInputMessage="1" showErrorMessage="1" sqref="AF252:AK252 AF260:AK260 AF268:AK268" xr:uid="{00000000-0002-0000-0300-000016000000}">
      <formula1>"(select one),Managing GP,Administrative GP"</formula1>
    </dataValidation>
    <dataValidation type="list" allowBlank="1" showInputMessage="1" showErrorMessage="1" sqref="V390:W391 AD767:AF767 AG388:AH389" xr:uid="{00000000-0002-0000-0300-000017000000}">
      <formula1>"N/A,Yes,No"</formula1>
    </dataValidation>
    <dataValidation type="list" allowBlank="1" showInputMessage="1" showErrorMessage="1" sqref="Q374" xr:uid="{00000000-0002-0000-0300-000018000000}">
      <formula1>"N/A,Appraisal,Third party debt encumbering the seller's property"</formula1>
    </dataValidation>
    <dataValidation type="whole" operator="greaterThanOrEqual" allowBlank="1" showInputMessage="1" showErrorMessage="1" sqref="Q562:V573 Q635:V646 Z814:AE814 AC635:AE646 AE562:AH573 AG403:AJ403" xr:uid="{00000000-0002-0000-0300-000019000000}">
      <formula1>0</formula1>
    </dataValidation>
    <dataValidation type="list" allowBlank="1" showInputMessage="1" showErrorMessage="1" sqref="Z562:AD573" xr:uid="{00000000-0002-0000-0300-00001A000000}">
      <formula1>"(select),Fixed,Variable,N/A"</formula1>
    </dataValidation>
    <dataValidation type="list" allowBlank="1" showInputMessage="1" showErrorMessage="1" sqref="I419:AE419" xr:uid="{00000000-0002-0000-0300-00001B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300-00001C000000}">
      <formula1>"(select one),Project-based vouchers (PBVs),Project-based contract (PBC),RAD conversion - PBVs, RAD conversion - PBC"</formula1>
    </dataValidation>
    <dataValidation type="whole" allowBlank="1" showInputMessage="1" showErrorMessage="1" sqref="AG417:AJ417" xr:uid="{00000000-0002-0000-0300-00001D000000}">
      <formula1>0</formula1>
      <formula2>AG404</formula2>
    </dataValidation>
    <dataValidation type="list" allowBlank="1" showInputMessage="1" showErrorMessage="1" sqref="T189:AE189" xr:uid="{00000000-0002-0000-0300-00001E000000}">
      <formula1>$BT$156:$BT$214</formula1>
    </dataValidation>
    <dataValidation type="list" allowBlank="1" showInputMessage="1" showErrorMessage="1" sqref="T193:AI193" xr:uid="{00000000-0002-0000-0300-00001F000000}">
      <formula1>$BB$173:$BB$178</formula1>
    </dataValidation>
    <dataValidation type="list" allowBlank="1" showInputMessage="1" showErrorMessage="1" sqref="S411:U411" xr:uid="{00000000-0002-0000-0300-000020000000}">
      <formula1>"N/A,No,Yes"</formula1>
    </dataValidation>
    <dataValidation type="list" allowBlank="1" showInputMessage="1" showErrorMessage="1" sqref="S414:AJ414" xr:uid="{00000000-0002-0000-0300-000021000000}">
      <formula1>"(select),Secured by Leasehold Interest,Secured by Fee Interest,Secured by both Leasehold &amp; Fee Interests,Other"</formula1>
    </dataValidation>
    <dataValidation type="whole" allowBlank="1" showInputMessage="1" showErrorMessage="1" sqref="AG404:AJ405 AG410:AJ410" xr:uid="{00000000-0002-0000-0300-000022000000}">
      <formula1>0</formula1>
      <formula2>AG403</formula2>
    </dataValidation>
    <dataValidation type="whole" allowBlank="1" showInputMessage="1" showErrorMessage="1" sqref="AG409:AJ409" xr:uid="{00000000-0002-0000-0300-000023000000}">
      <formula1>0</formula1>
      <formula2>AG404</formula2>
    </dataValidation>
    <dataValidation type="whole" allowBlank="1" showInputMessage="1" showErrorMessage="1" sqref="AG406:AH406" xr:uid="{00000000-0002-0000-0300-000024000000}">
      <formula1>0</formula1>
      <formula2>AG404</formula2>
    </dataValidation>
    <dataValidation type="list" showInputMessage="1" showErrorMessage="1" sqref="AC509:AF516 AC522:AF550" xr:uid="{00000000-0002-0000-0300-000025000000}">
      <formula1>"N/A,1,2,3,4,5,6,7,8,9,10,11,12"</formula1>
    </dataValidation>
    <dataValidation type="list" allowBlank="1" showInputMessage="1" showErrorMessage="1" sqref="AC517:AF517" xr:uid="{00000000-0002-0000-0300-000026000000}">
      <formula1>"(select),Yes,No"</formula1>
    </dataValidation>
    <dataValidation type="list" allowBlank="1" showInputMessage="1" showErrorMessage="1" sqref="D279:H279" xr:uid="{00000000-0002-0000-0300-000027000000}">
      <formula1>$BB$253:$BB$255</formula1>
    </dataValidation>
    <dataValidation type="list" allowBlank="1" showInputMessage="1" showErrorMessage="1" sqref="M247:T247" xr:uid="{00000000-0002-0000-0300-000028000000}">
      <formula1>$BC$212:$BC$220</formula1>
    </dataValidation>
    <dataValidation type="list" allowBlank="1" showInputMessage="1" showErrorMessage="1" sqref="Z635:AB646" xr:uid="{00000000-0002-0000-0300-000029000000}">
      <formula1>$BA$642:$BA$646</formula1>
    </dataValidation>
    <dataValidation type="list" showInputMessage="1" showErrorMessage="1" sqref="D211:M211" xr:uid="{00000000-0002-0000-0300-00002A000000}">
      <formula1>$BC$189:$BC$195</formula1>
    </dataValidation>
    <dataValidation type="whole" operator="greaterThanOrEqual" allowBlank="1" showInputMessage="1" showErrorMessage="1" errorTitle="Must be a number" error="Enter a whole number greater than or equal to 0." sqref="AG764:AJ764" xr:uid="{00000000-0002-0000-0300-00002B000000}">
      <formula1>0</formula1>
    </dataValidation>
    <dataValidation type="whole" operator="greaterThanOrEqual" allowBlank="1" showInputMessage="1" showErrorMessage="1" errorTitle="Whole numbers only" error="If not applicable, leave blank or enter zero (0)." sqref="Q212:R212" xr:uid="{00000000-0002-0000-0300-00002C000000}">
      <formula1>0</formula1>
    </dataValidation>
    <dataValidation type="list" showInputMessage="1" showErrorMessage="1" sqref="J174:AB174" xr:uid="{00000000-0002-0000-0300-00002D000000}">
      <formula1>"(select one),CDLAC-CTCAC Joint Application (submitting concurrently),CDLAC-only application (bonds without tax credits)"</formula1>
    </dataValidation>
    <dataValidation type="whole" operator="greaterThan" allowBlank="1" showInputMessage="1" showErrorMessage="1" sqref="AE971:AK971" xr:uid="{00000000-0002-0000-0300-00002E000000}">
      <formula1>0</formula1>
    </dataValidation>
    <dataValidation type="list" allowBlank="1" showInputMessage="1" showErrorMessage="1" sqref="M562:P573 M635:P646" xr:uid="{00000000-0002-0000-0300-00002F000000}">
      <formula1>ListofSources</formula1>
    </dataValidation>
    <dataValidation type="decimal" operator="greaterThanOrEqual" allowBlank="1" showInputMessage="1" showErrorMessage="1" sqref="W562:Y573 W635:Y646 AF635:AS646 AI562:AS573" xr:uid="{00000000-0002-0000-0300-000030000000}">
      <formula1>0</formula1>
    </dataValidation>
    <dataValidation type="whole" operator="greaterThanOrEqual" allowBlank="1" showInputMessage="1" showErrorMessage="1" error="Please enter a whole number. If none or N/A, enter 0." sqref="AJ365:AK365" xr:uid="{00000000-0002-0000-0300-000031000000}">
      <formula1>0</formula1>
    </dataValidation>
    <dataValidation type="whole" operator="greaterThan" allowBlank="1" showInputMessage="1" showErrorMessage="1" error="Please enter the subsidy term as a number in years, no text." sqref="M971:S971" xr:uid="{00000000-0002-0000-0300-000032000000}">
      <formula1>0</formula1>
    </dataValidation>
    <dataValidation type="whole" operator="greaterThanOrEqual" allowBlank="1" showInputMessage="1" showErrorMessage="1" error="Please enter the number of units designated for each population type. If N/A, enter 0." sqref="W473:Y482" xr:uid="{00000000-0002-0000-0300-000033000000}">
      <formula1>0</formula1>
    </dataValidation>
    <dataValidation type="list" allowBlank="1" showInputMessage="1" showErrorMessage="1" sqref="AK726:AO760" xr:uid="{00000000-0002-0000-0300-000034000000}">
      <formula1>"Special Needs,Homeless,Veterans,N/A"</formula1>
    </dataValidation>
    <dataValidation type="list" allowBlank="1" showInputMessage="1" showErrorMessage="1" sqref="D214" xr:uid="{00000000-0002-0000-0300-000035000000}">
      <formula1>$BH$189:$BH$193</formula1>
    </dataValidation>
    <dataValidation type="list" allowBlank="1" showInputMessage="1" showErrorMessage="1" sqref="M981:S981" xr:uid="{00000000-0002-0000-0300-000036000000}">
      <formula1>"(select one),Project-based vouchers (PBVs),Project-based contract (PBC),RAD PBVs, RAD PBC"</formula1>
    </dataValidation>
    <dataValidation type="list" allowBlank="1" showInputMessage="1" showErrorMessage="1" sqref="B726:F760 J781:N784 J795:N804" xr:uid="{00000000-0002-0000-0300-000037000000}">
      <formula1>UnitSizes</formula1>
    </dataValidation>
    <dataValidation type="list" showInputMessage="1" showErrorMessage="1" sqref="D220:Z220" xr:uid="{00000000-0002-0000-0300-000038000000}">
      <formula1>$BC$197:$BC$210</formula1>
    </dataValidation>
    <dataValidation type="list" allowBlank="1" showInputMessage="1" showErrorMessage="1" sqref="Z205:AN205" xr:uid="{00000000-0002-0000-0300-000039000000}">
      <formula1>$BI$212:$BI$217</formula1>
    </dataValidation>
    <dataValidation type="list" allowBlank="1" showInputMessage="1" showErrorMessage="1" sqref="AC220:AQ220" xr:uid="{00000000-0002-0000-0300-00003A000000}">
      <formula1>$BN$148:$BN$155</formula1>
    </dataValidation>
  </dataValidations>
  <hyperlinks>
    <hyperlink ref="D164" r:id="rId1" display="http://www.treasurer.ca.gov/ctcac/2018/lra/contact.pdf" xr:uid="{00000000-0004-0000-0300-000000000000}"/>
    <hyperlink ref="AB200" r:id="rId2" xr:uid="{00000000-0004-0000-0300-000001000000}"/>
  </hyperlinks>
  <printOptions horizontalCentered="1"/>
  <pageMargins left="0.5" right="0.5" top="1" bottom="1" header="0.5" footer="0.5"/>
  <pageSetup scale="70" fitToHeight="25" orientation="portrait" useFirstPageNumber="1" r:id="rId3"/>
  <headerFooter alignWithMargins="0">
    <oddFooter>&amp;C&amp;P&amp;R&amp;A</oddFooter>
  </headerFooter>
  <rowBreaks count="16" manualBreakCount="16">
    <brk id="58" max="16383" man="1"/>
    <brk id="109" max="16383" man="1"/>
    <brk id="165" max="16383" man="1"/>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colBreaks count="1" manualBreakCount="1">
    <brk id="46" max="1048575" man="1"/>
  </colBreaks>
  <drawing r:id="rId4"/>
  <legacyDrawing r:id="rId5"/>
  <tableParts count="1">
    <tablePart r:id="rId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XFC140"/>
  <sheetViews>
    <sheetView showGridLines="0" topLeftCell="A77" workbookViewId="0">
      <selection activeCell="S100" sqref="S100"/>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ustomWidth="1"/>
    <col min="16384" max="16384" width="0.109375" style="158" customWidth="1"/>
  </cols>
  <sheetData>
    <row r="1" spans="1:21" s="110" customFormat="1" ht="13.8" customHeight="1">
      <c r="A1" s="168" t="s">
        <v>1818</v>
      </c>
      <c r="B1" s="125"/>
      <c r="C1" s="125"/>
      <c r="D1" s="125"/>
      <c r="E1" s="126"/>
      <c r="F1" s="1668" t="s">
        <v>1819</v>
      </c>
      <c r="G1" s="1263"/>
      <c r="H1" s="1263"/>
      <c r="I1" s="1263"/>
      <c r="J1" s="1263"/>
      <c r="K1" s="1263"/>
      <c r="L1" s="1263"/>
      <c r="M1" s="1263"/>
      <c r="N1" s="1263"/>
      <c r="O1" s="1263"/>
      <c r="P1" s="1263"/>
      <c r="Q1" s="1263"/>
      <c r="R1" s="1264"/>
      <c r="S1" s="112"/>
      <c r="T1" s="111"/>
      <c r="U1" s="113"/>
    </row>
    <row r="2" spans="1:21" s="138" customFormat="1" ht="71.25" customHeight="1">
      <c r="A2" s="137"/>
      <c r="B2" s="138" t="s">
        <v>1820</v>
      </c>
      <c r="C2" s="138" t="s">
        <v>1821</v>
      </c>
      <c r="D2" s="138" t="s">
        <v>1822</v>
      </c>
      <c r="E2" s="138" t="s">
        <v>1823</v>
      </c>
      <c r="F2" s="139" t="str">
        <f>Application!B635&amp;Application!C635</f>
        <v>1)Permanent Loan</v>
      </c>
      <c r="G2" s="139" t="str">
        <f>Application!B636&amp;Application!C636</f>
        <v>2)HCD BV I&amp;II Assumed Soft Loan</v>
      </c>
      <c r="H2" s="139" t="str">
        <f>Application!B637&amp;Application!C637</f>
        <v>3)LAHD BV I&amp;II Assumed Soft Loan</v>
      </c>
      <c r="I2" s="139" t="str">
        <f>Application!B638&amp;Application!C638</f>
        <v>4)LACDA BV I&amp;II Assumed Soft Loan</v>
      </c>
      <c r="J2" s="139" t="str">
        <f>Application!B639&amp;Application!C639</f>
        <v>5)Deferred Developer Fee</v>
      </c>
      <c r="K2" s="139" t="str">
        <f>Application!B640&amp;Application!C640</f>
        <v>6)</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1824</v>
      </c>
      <c r="S2" s="138" t="s">
        <v>1825</v>
      </c>
      <c r="T2" s="138" t="s">
        <v>1826</v>
      </c>
      <c r="U2" s="140"/>
    </row>
    <row r="3" spans="1:21" s="144" customFormat="1">
      <c r="A3" s="141" t="s">
        <v>1827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1828</v>
      </c>
      <c r="B4" s="146">
        <f>SUM(C4+D4)</f>
        <v>1313644</v>
      </c>
      <c r="C4" s="147">
        <v>1313644</v>
      </c>
      <c r="D4" s="147"/>
      <c r="E4" s="147"/>
      <c r="F4" s="147"/>
      <c r="G4" s="147">
        <v>1313644</v>
      </c>
      <c r="H4" s="147"/>
      <c r="I4" s="147"/>
      <c r="J4" s="147"/>
      <c r="K4" s="147"/>
      <c r="L4" s="147"/>
      <c r="M4" s="147"/>
      <c r="N4" s="147"/>
      <c r="O4" s="147"/>
      <c r="P4" s="147"/>
      <c r="Q4" s="147"/>
      <c r="R4" s="516">
        <f>SUM(E4:Q4)</f>
        <v>1313644</v>
      </c>
      <c r="S4" s="148"/>
      <c r="T4" s="148"/>
      <c r="U4" s="143"/>
    </row>
    <row r="5" spans="1:21" s="144" customFormat="1">
      <c r="A5" s="145" t="s">
        <v>807</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1829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1830</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ustomHeight="1">
      <c r="A8" s="149" t="s">
        <v>1831</v>
      </c>
      <c r="B8" s="146">
        <f>SUM(C8:D8)</f>
        <v>1313644</v>
      </c>
      <c r="C8" s="146">
        <f t="shared" ref="C8:O8" si="0">SUM(C4:C7)</f>
        <v>1313644</v>
      </c>
      <c r="D8" s="146">
        <f t="shared" si="0"/>
        <v>0</v>
      </c>
      <c r="E8" s="146">
        <f t="shared" si="0"/>
        <v>0</v>
      </c>
      <c r="F8" s="146">
        <f t="shared" si="0"/>
        <v>0</v>
      </c>
      <c r="G8" s="146">
        <f t="shared" si="0"/>
        <v>1313644</v>
      </c>
      <c r="H8" s="146">
        <f t="shared" si="0"/>
        <v>0</v>
      </c>
      <c r="I8" s="146">
        <f t="shared" si="0"/>
        <v>0</v>
      </c>
      <c r="J8" s="146">
        <f t="shared" si="0"/>
        <v>0</v>
      </c>
      <c r="K8" s="146">
        <f t="shared" si="0"/>
        <v>0</v>
      </c>
      <c r="L8" s="146">
        <f t="shared" si="0"/>
        <v>0</v>
      </c>
      <c r="M8" s="146">
        <f t="shared" si="0"/>
        <v>0</v>
      </c>
      <c r="N8" s="146">
        <f t="shared" si="0"/>
        <v>0</v>
      </c>
      <c r="O8" s="146">
        <f t="shared" si="0"/>
        <v>0</v>
      </c>
      <c r="P8" s="146"/>
      <c r="Q8" s="146">
        <f>SUM(Q4:Q7)</f>
        <v>0</v>
      </c>
      <c r="R8" s="342">
        <f>SUM(R4:R7)</f>
        <v>1313644</v>
      </c>
      <c r="S8" s="148"/>
      <c r="T8" s="148"/>
      <c r="U8" s="143"/>
    </row>
    <row r="9" spans="1:21" s="144" customFormat="1">
      <c r="A9" s="145" t="s">
        <v>1832</v>
      </c>
      <c r="B9" s="146">
        <f>SUM(C9+D9)</f>
        <v>12121356</v>
      </c>
      <c r="C9" s="147">
        <v>12121356</v>
      </c>
      <c r="D9" s="147"/>
      <c r="E9" s="147">
        <f>+C9-SUM(F9:I9)</f>
        <v>175885</v>
      </c>
      <c r="F9" s="147"/>
      <c r="G9" s="147">
        <f>4425484-G4</f>
        <v>3111840</v>
      </c>
      <c r="H9" s="147">
        <v>5694201</v>
      </c>
      <c r="I9" s="147">
        <v>3139430</v>
      </c>
      <c r="J9" s="147"/>
      <c r="K9" s="147"/>
      <c r="L9" s="147"/>
      <c r="M9" s="147"/>
      <c r="N9" s="147"/>
      <c r="O9" s="147"/>
      <c r="P9" s="147"/>
      <c r="Q9" s="147"/>
      <c r="R9" s="516">
        <f>SUM(E9:Q9)</f>
        <v>12121356</v>
      </c>
      <c r="S9" s="148"/>
      <c r="T9" s="147">
        <v>12121356</v>
      </c>
      <c r="U9" s="143"/>
    </row>
    <row r="10" spans="1:21" s="144" customFormat="1">
      <c r="A10" s="145" t="s">
        <v>1833</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ustomHeight="1">
      <c r="A11" s="149" t="s">
        <v>1834</v>
      </c>
      <c r="B11" s="146">
        <f>SUM(C11:D11)</f>
        <v>12121356</v>
      </c>
      <c r="C11" s="146">
        <f t="shared" ref="C11:O11" si="1">SUM(C9:C10)</f>
        <v>12121356</v>
      </c>
      <c r="D11" s="146">
        <f t="shared" si="1"/>
        <v>0</v>
      </c>
      <c r="E11" s="146">
        <f t="shared" si="1"/>
        <v>175885</v>
      </c>
      <c r="F11" s="146">
        <f t="shared" si="1"/>
        <v>0</v>
      </c>
      <c r="G11" s="146">
        <f t="shared" si="1"/>
        <v>3111840</v>
      </c>
      <c r="H11" s="146">
        <f t="shared" si="1"/>
        <v>5694201</v>
      </c>
      <c r="I11" s="146">
        <f t="shared" si="1"/>
        <v>3139430</v>
      </c>
      <c r="J11" s="146">
        <f t="shared" si="1"/>
        <v>0</v>
      </c>
      <c r="K11" s="146">
        <f t="shared" si="1"/>
        <v>0</v>
      </c>
      <c r="L11" s="146">
        <f t="shared" si="1"/>
        <v>0</v>
      </c>
      <c r="M11" s="146">
        <f t="shared" si="1"/>
        <v>0</v>
      </c>
      <c r="N11" s="146">
        <f t="shared" si="1"/>
        <v>0</v>
      </c>
      <c r="O11" s="146">
        <f t="shared" si="1"/>
        <v>0</v>
      </c>
      <c r="P11" s="146"/>
      <c r="Q11" s="146">
        <f>SUM(Q9:Q10)</f>
        <v>0</v>
      </c>
      <c r="R11" s="342">
        <f>SUM(R9:R10)</f>
        <v>12121356</v>
      </c>
      <c r="S11" s="148"/>
      <c r="T11" s="150">
        <f>SUM(T9:T10)</f>
        <v>12121356</v>
      </c>
      <c r="U11" s="143"/>
    </row>
    <row r="12" spans="1:21" s="144" customFormat="1" ht="12" customHeight="1">
      <c r="A12" s="149" t="s">
        <v>1835</v>
      </c>
      <c r="B12" s="146">
        <f t="shared" ref="B12:O12" si="2">SUM(B8+B11)</f>
        <v>13435000</v>
      </c>
      <c r="C12" s="146">
        <f t="shared" si="2"/>
        <v>13435000</v>
      </c>
      <c r="D12" s="146">
        <f t="shared" si="2"/>
        <v>0</v>
      </c>
      <c r="E12" s="146">
        <f t="shared" si="2"/>
        <v>175885</v>
      </c>
      <c r="F12" s="146">
        <f t="shared" si="2"/>
        <v>0</v>
      </c>
      <c r="G12" s="146">
        <f t="shared" si="2"/>
        <v>4425484</v>
      </c>
      <c r="H12" s="146">
        <f t="shared" si="2"/>
        <v>5694201</v>
      </c>
      <c r="I12" s="146">
        <f t="shared" si="2"/>
        <v>3139430</v>
      </c>
      <c r="J12" s="146">
        <f t="shared" si="2"/>
        <v>0</v>
      </c>
      <c r="K12" s="146">
        <f t="shared" si="2"/>
        <v>0</v>
      </c>
      <c r="L12" s="146">
        <f t="shared" si="2"/>
        <v>0</v>
      </c>
      <c r="M12" s="146">
        <f t="shared" si="2"/>
        <v>0</v>
      </c>
      <c r="N12" s="146">
        <f t="shared" si="2"/>
        <v>0</v>
      </c>
      <c r="O12" s="146">
        <f t="shared" si="2"/>
        <v>0</v>
      </c>
      <c r="P12" s="146"/>
      <c r="Q12" s="146">
        <f>SUM(Q8+Q11)</f>
        <v>0</v>
      </c>
      <c r="R12" s="342">
        <f>SUM(R8+R11)</f>
        <v>13435000</v>
      </c>
      <c r="S12" s="148"/>
      <c r="T12" s="148"/>
      <c r="U12" s="143"/>
    </row>
    <row r="13" spans="1:21" s="144" customFormat="1">
      <c r="A13" s="287" t="s">
        <v>1836</v>
      </c>
      <c r="B13" s="146">
        <f>SUM(C13+D13)</f>
        <v>0</v>
      </c>
      <c r="C13" s="147"/>
      <c r="D13" s="147"/>
      <c r="E13" s="147"/>
      <c r="F13" s="147"/>
      <c r="G13" s="147"/>
      <c r="H13" s="147"/>
      <c r="I13" s="147"/>
      <c r="J13" s="147"/>
      <c r="K13" s="147"/>
      <c r="L13" s="147"/>
      <c r="M13" s="147"/>
      <c r="N13" s="147"/>
      <c r="O13" s="147"/>
      <c r="P13" s="147"/>
      <c r="Q13" s="147"/>
      <c r="R13" s="516">
        <f>SUM(E13:Q13)</f>
        <v>0</v>
      </c>
      <c r="S13" s="147">
        <v>0</v>
      </c>
      <c r="T13" s="147"/>
      <c r="U13" s="143"/>
    </row>
    <row r="14" spans="1:21" s="144" customFormat="1" ht="22.8" customHeight="1">
      <c r="A14" s="288" t="s">
        <v>1837</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1838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1839</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1840</v>
      </c>
      <c r="B17" s="146">
        <f t="shared" ref="B17:B26" si="3">SUM(C17+D17)</f>
        <v>0</v>
      </c>
      <c r="C17" s="147"/>
      <c r="D17" s="147"/>
      <c r="E17" s="147"/>
      <c r="F17" s="147"/>
      <c r="G17" s="147"/>
      <c r="H17" s="147"/>
      <c r="I17" s="147"/>
      <c r="J17" s="147"/>
      <c r="K17" s="147"/>
      <c r="L17" s="147"/>
      <c r="M17" s="147"/>
      <c r="N17" s="147"/>
      <c r="O17" s="147"/>
      <c r="P17" s="147"/>
      <c r="Q17" s="147"/>
      <c r="R17" s="516">
        <f t="shared" ref="R17:R25" si="4">SUM(E17:Q17)</f>
        <v>0</v>
      </c>
      <c r="S17" s="147"/>
      <c r="T17" s="147"/>
      <c r="U17" s="143"/>
    </row>
    <row r="18" spans="1:21" s="144" customFormat="1">
      <c r="A18" s="145" t="s">
        <v>1841</v>
      </c>
      <c r="B18" s="146">
        <f t="shared" si="3"/>
        <v>7920000</v>
      </c>
      <c r="C18" s="147">
        <v>7920000</v>
      </c>
      <c r="D18" s="147"/>
      <c r="E18" s="147">
        <f>+C18-SUM(F18:H18)</f>
        <v>2320000</v>
      </c>
      <c r="F18" s="147">
        <v>5600000</v>
      </c>
      <c r="G18" s="147"/>
      <c r="H18" s="147"/>
      <c r="I18" s="147"/>
      <c r="J18" s="147"/>
      <c r="K18" s="147"/>
      <c r="L18" s="147"/>
      <c r="M18" s="147"/>
      <c r="N18" s="147"/>
      <c r="O18" s="147"/>
      <c r="P18" s="147"/>
      <c r="Q18" s="147"/>
      <c r="R18" s="516">
        <f t="shared" si="4"/>
        <v>7920000</v>
      </c>
      <c r="S18" s="147">
        <v>7920000</v>
      </c>
      <c r="T18" s="147"/>
      <c r="U18" s="143"/>
    </row>
    <row r="19" spans="1:21" s="144" customFormat="1">
      <c r="A19" s="145" t="s">
        <v>1842</v>
      </c>
      <c r="B19" s="146">
        <f t="shared" si="3"/>
        <v>640886</v>
      </c>
      <c r="C19" s="147">
        <v>640886</v>
      </c>
      <c r="D19" s="147"/>
      <c r="E19" s="147">
        <v>640886</v>
      </c>
      <c r="F19" s="147"/>
      <c r="G19" s="147"/>
      <c r="H19" s="147"/>
      <c r="I19" s="147"/>
      <c r="J19" s="147"/>
      <c r="K19" s="147"/>
      <c r="L19" s="147"/>
      <c r="M19" s="147"/>
      <c r="N19" s="147"/>
      <c r="O19" s="147"/>
      <c r="P19" s="147"/>
      <c r="Q19" s="147"/>
      <c r="R19" s="516">
        <f t="shared" si="4"/>
        <v>640886</v>
      </c>
      <c r="S19" s="147">
        <v>640886</v>
      </c>
      <c r="T19" s="147"/>
      <c r="U19" s="143"/>
    </row>
    <row r="20" spans="1:21" s="144" customFormat="1">
      <c r="A20" s="145" t="s">
        <v>1843</v>
      </c>
      <c r="B20" s="146">
        <f t="shared" si="3"/>
        <v>120166</v>
      </c>
      <c r="C20" s="147">
        <v>120166</v>
      </c>
      <c r="D20" s="147"/>
      <c r="E20" s="147">
        <v>120166</v>
      </c>
      <c r="F20" s="147"/>
      <c r="G20" s="147"/>
      <c r="H20" s="147"/>
      <c r="I20" s="147"/>
      <c r="J20" s="147"/>
      <c r="K20" s="147"/>
      <c r="L20" s="147"/>
      <c r="M20" s="147"/>
      <c r="N20" s="147"/>
      <c r="O20" s="147"/>
      <c r="P20" s="147"/>
      <c r="Q20" s="147"/>
      <c r="R20" s="516">
        <f t="shared" si="4"/>
        <v>120166</v>
      </c>
      <c r="S20" s="147">
        <v>120166</v>
      </c>
      <c r="T20" s="147"/>
      <c r="U20" s="143"/>
    </row>
    <row r="21" spans="1:21" s="144" customFormat="1">
      <c r="A21" s="145" t="s">
        <v>1844</v>
      </c>
      <c r="B21" s="146">
        <f t="shared" si="3"/>
        <v>360499</v>
      </c>
      <c r="C21" s="147">
        <v>360499</v>
      </c>
      <c r="D21" s="147"/>
      <c r="E21" s="147">
        <v>360499</v>
      </c>
      <c r="F21" s="147"/>
      <c r="G21" s="147"/>
      <c r="H21" s="147"/>
      <c r="I21" s="147"/>
      <c r="J21" s="147"/>
      <c r="K21" s="147"/>
      <c r="L21" s="147"/>
      <c r="M21" s="147"/>
      <c r="N21" s="147"/>
      <c r="O21" s="147"/>
      <c r="P21" s="147"/>
      <c r="Q21" s="147"/>
      <c r="R21" s="516">
        <f t="shared" si="4"/>
        <v>360499</v>
      </c>
      <c r="S21" s="147">
        <v>360499</v>
      </c>
      <c r="T21" s="147"/>
      <c r="U21" s="143"/>
    </row>
    <row r="22" spans="1:21" s="144" customFormat="1">
      <c r="A22" s="145" t="s">
        <v>99</v>
      </c>
      <c r="B22" s="146">
        <f t="shared" si="3"/>
        <v>0</v>
      </c>
      <c r="C22" s="147"/>
      <c r="D22" s="147"/>
      <c r="E22" s="147"/>
      <c r="F22" s="147"/>
      <c r="G22" s="147"/>
      <c r="H22" s="147"/>
      <c r="I22" s="147"/>
      <c r="J22" s="147"/>
      <c r="K22" s="147"/>
      <c r="L22" s="147"/>
      <c r="M22" s="147"/>
      <c r="N22" s="147"/>
      <c r="O22" s="147"/>
      <c r="P22" s="147"/>
      <c r="Q22" s="147"/>
      <c r="R22" s="516">
        <f t="shared" si="4"/>
        <v>0</v>
      </c>
      <c r="S22" s="147">
        <v>0</v>
      </c>
      <c r="T22" s="147"/>
      <c r="U22" s="143"/>
    </row>
    <row r="23" spans="1:21" s="144" customFormat="1">
      <c r="A23" s="145" t="s">
        <v>1845</v>
      </c>
      <c r="B23" s="146">
        <f t="shared" si="3"/>
        <v>91080</v>
      </c>
      <c r="C23" s="147">
        <v>91080</v>
      </c>
      <c r="D23" s="147"/>
      <c r="E23" s="147">
        <v>91080</v>
      </c>
      <c r="F23" s="147"/>
      <c r="G23" s="147"/>
      <c r="H23" s="147"/>
      <c r="I23" s="147"/>
      <c r="J23" s="147"/>
      <c r="K23" s="147"/>
      <c r="L23" s="147"/>
      <c r="M23" s="147"/>
      <c r="N23" s="147"/>
      <c r="O23" s="147"/>
      <c r="P23" s="147"/>
      <c r="Q23" s="147"/>
      <c r="R23" s="516">
        <f t="shared" si="4"/>
        <v>91080</v>
      </c>
      <c r="S23" s="147">
        <v>91080</v>
      </c>
      <c r="T23" s="147"/>
      <c r="U23" s="143"/>
    </row>
    <row r="24" spans="1:21" s="144" customFormat="1">
      <c r="A24" s="508" t="s">
        <v>1846</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1" t="s">
        <v>1847</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ustomHeight="1">
      <c r="A26" s="149" t="s">
        <v>1848</v>
      </c>
      <c r="B26" s="146">
        <f t="shared" si="3"/>
        <v>9132631</v>
      </c>
      <c r="C26" s="146">
        <f t="shared" ref="C26:T26" si="5">SUM(C17:C25)</f>
        <v>9132631</v>
      </c>
      <c r="D26" s="146">
        <f t="shared" si="5"/>
        <v>0</v>
      </c>
      <c r="E26" s="146">
        <f t="shared" si="5"/>
        <v>3532631</v>
      </c>
      <c r="F26" s="146">
        <f t="shared" si="5"/>
        <v>5600000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 t="shared" si="5"/>
        <v>9132631</v>
      </c>
      <c r="S26" s="150">
        <f t="shared" si="5"/>
        <v>9132631</v>
      </c>
      <c r="T26" s="150">
        <f t="shared" si="5"/>
        <v>0</v>
      </c>
      <c r="U26" s="143"/>
    </row>
    <row r="27" spans="1:21" s="144" customFormat="1" ht="12" customHeight="1">
      <c r="A27" s="149" t="s">
        <v>1849</v>
      </c>
      <c r="B27" s="146">
        <f>SUM(C27:D27)</f>
        <v>300000</v>
      </c>
      <c r="C27" s="147">
        <v>300000</v>
      </c>
      <c r="D27" s="147"/>
      <c r="E27" s="147">
        <v>300000</v>
      </c>
      <c r="F27" s="147"/>
      <c r="G27" s="147"/>
      <c r="H27" s="147"/>
      <c r="I27" s="147"/>
      <c r="J27" s="147"/>
      <c r="K27" s="147"/>
      <c r="L27" s="147"/>
      <c r="M27" s="147"/>
      <c r="N27" s="147"/>
      <c r="O27" s="147"/>
      <c r="P27" s="147"/>
      <c r="Q27" s="147"/>
      <c r="R27" s="516">
        <f>SUM(E27:Q27)</f>
        <v>300000</v>
      </c>
      <c r="S27" s="147">
        <v>300000</v>
      </c>
      <c r="T27" s="147"/>
      <c r="U27" s="143"/>
    </row>
    <row r="28" spans="1:21" s="144" customFormat="1">
      <c r="A28" s="141" t="s">
        <v>1850</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1840</v>
      </c>
      <c r="B29" s="146">
        <f t="shared" ref="B29:B38" si="6">SUM(C29+D29)</f>
        <v>0</v>
      </c>
      <c r="C29" s="147"/>
      <c r="D29" s="147"/>
      <c r="E29" s="147"/>
      <c r="F29" s="147"/>
      <c r="G29" s="147"/>
      <c r="H29" s="147"/>
      <c r="I29" s="147"/>
      <c r="J29" s="147"/>
      <c r="K29" s="147"/>
      <c r="L29" s="147"/>
      <c r="M29" s="147"/>
      <c r="N29" s="147"/>
      <c r="O29" s="147"/>
      <c r="P29" s="147"/>
      <c r="Q29" s="147"/>
      <c r="R29" s="516">
        <f t="shared" ref="R29:R37" si="7">SUM(E29:Q29)</f>
        <v>0</v>
      </c>
      <c r="S29" s="147"/>
      <c r="T29" s="147"/>
      <c r="U29" s="143"/>
    </row>
    <row r="30" spans="1:21" s="144" customFormat="1">
      <c r="A30" s="145" t="s">
        <v>1841</v>
      </c>
      <c r="B30" s="146">
        <f t="shared" si="6"/>
        <v>0</v>
      </c>
      <c r="C30" s="147"/>
      <c r="D30" s="147"/>
      <c r="E30" s="147"/>
      <c r="F30" s="147"/>
      <c r="G30" s="147"/>
      <c r="H30" s="147"/>
      <c r="I30" s="147"/>
      <c r="J30" s="147"/>
      <c r="K30" s="147"/>
      <c r="L30" s="147"/>
      <c r="M30" s="147"/>
      <c r="N30" s="147"/>
      <c r="O30" s="147"/>
      <c r="P30" s="147"/>
      <c r="Q30" s="147"/>
      <c r="R30" s="516">
        <f t="shared" si="7"/>
        <v>0</v>
      </c>
      <c r="S30" s="147"/>
      <c r="T30" s="147"/>
      <c r="U30" s="143"/>
    </row>
    <row r="31" spans="1:21" s="144" customFormat="1">
      <c r="A31" s="145" t="s">
        <v>1842</v>
      </c>
      <c r="B31" s="146">
        <f t="shared" si="6"/>
        <v>0</v>
      </c>
      <c r="C31" s="147"/>
      <c r="D31" s="147"/>
      <c r="E31" s="147"/>
      <c r="F31" s="147"/>
      <c r="G31" s="147"/>
      <c r="H31" s="147"/>
      <c r="I31" s="147"/>
      <c r="J31" s="147"/>
      <c r="K31" s="147"/>
      <c r="L31" s="147"/>
      <c r="M31" s="147"/>
      <c r="N31" s="147"/>
      <c r="O31" s="147"/>
      <c r="P31" s="147"/>
      <c r="Q31" s="147"/>
      <c r="R31" s="516">
        <f t="shared" si="7"/>
        <v>0</v>
      </c>
      <c r="S31" s="147"/>
      <c r="T31" s="147"/>
      <c r="U31" s="143"/>
    </row>
    <row r="32" spans="1:21" s="144" customFormat="1">
      <c r="A32" s="145" t="s">
        <v>1843</v>
      </c>
      <c r="B32" s="146">
        <f t="shared" si="6"/>
        <v>0</v>
      </c>
      <c r="C32" s="147"/>
      <c r="D32" s="147"/>
      <c r="E32" s="147"/>
      <c r="F32" s="147"/>
      <c r="G32" s="147"/>
      <c r="H32" s="147"/>
      <c r="I32" s="147"/>
      <c r="J32" s="147"/>
      <c r="K32" s="147"/>
      <c r="L32" s="147"/>
      <c r="M32" s="147"/>
      <c r="N32" s="147"/>
      <c r="O32" s="147"/>
      <c r="P32" s="147"/>
      <c r="Q32" s="147"/>
      <c r="R32" s="516">
        <f t="shared" si="7"/>
        <v>0</v>
      </c>
      <c r="S32" s="147"/>
      <c r="T32" s="147"/>
      <c r="U32" s="143"/>
    </row>
    <row r="33" spans="1:21" s="144" customFormat="1">
      <c r="A33" s="145" t="s">
        <v>1844</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99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1845</v>
      </c>
      <c r="B35" s="146">
        <f t="shared" si="6"/>
        <v>0</v>
      </c>
      <c r="C35" s="147"/>
      <c r="D35" s="147"/>
      <c r="E35" s="147"/>
      <c r="F35" s="147"/>
      <c r="G35" s="147"/>
      <c r="H35" s="147"/>
      <c r="I35" s="147"/>
      <c r="J35" s="147"/>
      <c r="K35" s="147"/>
      <c r="L35" s="147"/>
      <c r="M35" s="147"/>
      <c r="N35" s="147"/>
      <c r="O35" s="147"/>
      <c r="P35" s="147"/>
      <c r="Q35" s="147"/>
      <c r="R35" s="516">
        <f t="shared" si="7"/>
        <v>0</v>
      </c>
      <c r="S35" s="147"/>
      <c r="T35" s="147"/>
      <c r="U35" s="143"/>
    </row>
    <row r="36" spans="1:21" s="144" customFormat="1">
      <c r="A36" s="283" t="s">
        <v>1846</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1" t="s">
        <v>1847</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ustomHeight="1">
      <c r="A38" s="149" t="s">
        <v>1851</v>
      </c>
      <c r="B38" s="146">
        <f t="shared" si="6"/>
        <v>0</v>
      </c>
      <c r="C38" s="146">
        <f t="shared" ref="C38:T38" si="8">SUM(C29:C37)</f>
        <v>0</v>
      </c>
      <c r="D38" s="146">
        <f t="shared" si="8"/>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 t="shared" si="8"/>
        <v>0</v>
      </c>
      <c r="S38" s="150">
        <f t="shared" si="8"/>
        <v>0</v>
      </c>
      <c r="T38" s="150">
        <f t="shared" si="8"/>
        <v>0</v>
      </c>
      <c r="U38" s="143"/>
    </row>
    <row r="39" spans="1:21" s="144" customFormat="1">
      <c r="A39" s="141" t="s">
        <v>1852</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1853</v>
      </c>
      <c r="B40" s="146">
        <f>SUM(C40+D40)</f>
        <v>365305</v>
      </c>
      <c r="C40" s="147">
        <v>365305</v>
      </c>
      <c r="D40" s="147"/>
      <c r="E40" s="147">
        <v>365305</v>
      </c>
      <c r="F40" s="147"/>
      <c r="G40" s="147"/>
      <c r="H40" s="147"/>
      <c r="I40" s="147"/>
      <c r="J40" s="147"/>
      <c r="K40" s="147"/>
      <c r="L40" s="147"/>
      <c r="M40" s="147"/>
      <c r="N40" s="147"/>
      <c r="O40" s="147"/>
      <c r="P40" s="147"/>
      <c r="Q40" s="147"/>
      <c r="R40" s="516">
        <f>SUM(E40:Q40)</f>
        <v>365305</v>
      </c>
      <c r="S40" s="147">
        <f>SUM(F40:R40)</f>
        <v>365305</v>
      </c>
      <c r="T40" s="147"/>
      <c r="U40" s="143"/>
    </row>
    <row r="41" spans="1:21" s="144" customFormat="1">
      <c r="A41" s="145" t="s">
        <v>1854</v>
      </c>
      <c r="B41" s="146">
        <f>SUM(C41+D41)</f>
        <v>45663</v>
      </c>
      <c r="C41" s="147">
        <v>45663</v>
      </c>
      <c r="D41" s="147"/>
      <c r="E41" s="147">
        <v>45663</v>
      </c>
      <c r="F41" s="147"/>
      <c r="G41" s="147"/>
      <c r="H41" s="147"/>
      <c r="I41" s="147"/>
      <c r="J41" s="147"/>
      <c r="K41" s="147"/>
      <c r="L41" s="147"/>
      <c r="M41" s="147"/>
      <c r="N41" s="147"/>
      <c r="O41" s="147"/>
      <c r="P41" s="147"/>
      <c r="Q41" s="147"/>
      <c r="R41" s="516">
        <f>SUM(E41:Q41)</f>
        <v>45663</v>
      </c>
      <c r="S41" s="147">
        <f>SUM(F41:R41)</f>
        <v>45663</v>
      </c>
      <c r="T41" s="147"/>
      <c r="U41" s="143"/>
    </row>
    <row r="42" spans="1:21" s="144" customFormat="1" ht="12" customHeight="1">
      <c r="A42" s="149" t="s">
        <v>1855</v>
      </c>
      <c r="B42" s="146">
        <f>SUM(C42:D42)</f>
        <v>410968</v>
      </c>
      <c r="C42" s="146">
        <f>SUM(C39:C41)</f>
        <v>410968</v>
      </c>
      <c r="D42" s="146">
        <f>SUM(D39:D41)</f>
        <v>0</v>
      </c>
      <c r="E42" s="146">
        <f t="shared" ref="E42:T42" si="9">SUM(E40:E41)</f>
        <v>410968</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 t="shared" si="9"/>
        <v>410968</v>
      </c>
      <c r="S42" s="150">
        <f t="shared" si="9"/>
        <v>410968</v>
      </c>
      <c r="T42" s="150">
        <f t="shared" si="9"/>
        <v>0</v>
      </c>
      <c r="U42" s="143"/>
    </row>
    <row r="43" spans="1:21" s="144" customFormat="1" ht="12" customHeight="1">
      <c r="A43" s="149" t="s">
        <v>1856</v>
      </c>
      <c r="B43" s="146">
        <f>SUM(C43:D43)</f>
        <v>40000</v>
      </c>
      <c r="C43" s="147">
        <v>40000</v>
      </c>
      <c r="D43" s="147"/>
      <c r="E43" s="147">
        <v>40000</v>
      </c>
      <c r="F43" s="147"/>
      <c r="G43" s="147"/>
      <c r="H43" s="147"/>
      <c r="I43" s="147"/>
      <c r="J43" s="147"/>
      <c r="K43" s="147"/>
      <c r="L43" s="147"/>
      <c r="M43" s="147"/>
      <c r="N43" s="147"/>
      <c r="O43" s="147"/>
      <c r="P43" s="147"/>
      <c r="Q43" s="147"/>
      <c r="R43" s="516">
        <f>SUM(E43:Q43)</f>
        <v>40000</v>
      </c>
      <c r="S43" s="147">
        <v>40000</v>
      </c>
      <c r="T43" s="147"/>
      <c r="U43" s="143"/>
    </row>
    <row r="44" spans="1:21" s="144" customFormat="1">
      <c r="A44" s="141" t="s">
        <v>1857</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1858</v>
      </c>
      <c r="B45" s="146">
        <f t="shared" ref="B45:B53" si="10">SUM(C45+D45)</f>
        <v>488354</v>
      </c>
      <c r="C45" s="147">
        <v>488354</v>
      </c>
      <c r="D45" s="147"/>
      <c r="E45" s="147">
        <v>488354</v>
      </c>
      <c r="F45" s="147"/>
      <c r="G45" s="147"/>
      <c r="H45" s="147"/>
      <c r="I45" s="147"/>
      <c r="J45" s="147"/>
      <c r="K45" s="147"/>
      <c r="L45" s="147"/>
      <c r="M45" s="147"/>
      <c r="N45" s="147"/>
      <c r="O45" s="147"/>
      <c r="P45" s="147"/>
      <c r="Q45" s="147"/>
      <c r="R45" s="516">
        <f t="shared" ref="R45:R53" si="11">SUM(E45:Q45)</f>
        <v>488354</v>
      </c>
      <c r="S45" s="147">
        <v>175649</v>
      </c>
      <c r="T45" s="147"/>
      <c r="U45" s="143"/>
    </row>
    <row r="46" spans="1:21" s="144" customFormat="1">
      <c r="A46" s="145" t="s">
        <v>1859</v>
      </c>
      <c r="B46" s="146">
        <f t="shared" si="10"/>
        <v>122876</v>
      </c>
      <c r="C46" s="147">
        <v>122876</v>
      </c>
      <c r="D46" s="147"/>
      <c r="E46" s="147">
        <v>122876</v>
      </c>
      <c r="F46" s="147"/>
      <c r="G46" s="147"/>
      <c r="H46" s="147"/>
      <c r="I46" s="147"/>
      <c r="J46" s="147"/>
      <c r="K46" s="147"/>
      <c r="L46" s="147"/>
      <c r="M46" s="147"/>
      <c r="N46" s="147"/>
      <c r="O46" s="147"/>
      <c r="P46" s="147"/>
      <c r="Q46" s="147"/>
      <c r="R46" s="516">
        <f t="shared" si="11"/>
        <v>122876</v>
      </c>
      <c r="S46" s="147">
        <v>68938</v>
      </c>
      <c r="T46" s="147"/>
      <c r="U46" s="143"/>
    </row>
    <row r="47" spans="1:21" s="144" customFormat="1">
      <c r="A47" s="186" t="s">
        <v>1860</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1861</v>
      </c>
      <c r="B48" s="146">
        <f t="shared" si="10"/>
        <v>123291</v>
      </c>
      <c r="C48" s="147">
        <v>123291</v>
      </c>
      <c r="D48" s="147"/>
      <c r="E48" s="147">
        <v>123291</v>
      </c>
      <c r="F48" s="147"/>
      <c r="G48" s="147"/>
      <c r="H48" s="147"/>
      <c r="I48" s="147"/>
      <c r="J48" s="147"/>
      <c r="K48" s="147"/>
      <c r="L48" s="147"/>
      <c r="M48" s="147"/>
      <c r="N48" s="147"/>
      <c r="O48" s="147"/>
      <c r="P48" s="147"/>
      <c r="Q48" s="147"/>
      <c r="R48" s="516">
        <f t="shared" si="11"/>
        <v>123291</v>
      </c>
      <c r="S48" s="147">
        <v>123291</v>
      </c>
      <c r="T48" s="147"/>
      <c r="U48" s="143"/>
    </row>
    <row r="49" spans="1:21" s="144" customFormat="1">
      <c r="A49" s="145" t="s">
        <v>1862</v>
      </c>
      <c r="B49" s="146">
        <f t="shared" si="10"/>
        <v>0</v>
      </c>
      <c r="C49" s="147"/>
      <c r="D49" s="147"/>
      <c r="E49" s="147"/>
      <c r="F49" s="147"/>
      <c r="G49" s="147"/>
      <c r="H49" s="147"/>
      <c r="I49" s="147"/>
      <c r="J49" s="147"/>
      <c r="K49" s="147"/>
      <c r="L49" s="147"/>
      <c r="M49" s="147"/>
      <c r="N49" s="147"/>
      <c r="O49" s="147"/>
      <c r="P49" s="147"/>
      <c r="Q49" s="147"/>
      <c r="R49" s="516">
        <f t="shared" si="11"/>
        <v>0</v>
      </c>
      <c r="S49" s="147"/>
      <c r="T49" s="147"/>
      <c r="U49" s="143"/>
    </row>
    <row r="50" spans="1:21" s="144" customFormat="1">
      <c r="A50" s="145" t="s">
        <v>1863</v>
      </c>
      <c r="B50" s="146">
        <f t="shared" si="10"/>
        <v>150000</v>
      </c>
      <c r="C50" s="147">
        <v>150000</v>
      </c>
      <c r="D50" s="147"/>
      <c r="E50" s="147">
        <v>150000</v>
      </c>
      <c r="F50" s="147"/>
      <c r="G50" s="147"/>
      <c r="H50" s="147"/>
      <c r="I50" s="147"/>
      <c r="J50" s="147"/>
      <c r="K50" s="147"/>
      <c r="L50" s="147"/>
      <c r="M50" s="147"/>
      <c r="N50" s="147"/>
      <c r="O50" s="147"/>
      <c r="P50" s="147"/>
      <c r="Q50" s="147"/>
      <c r="R50" s="516">
        <f t="shared" si="11"/>
        <v>150000</v>
      </c>
      <c r="S50" s="147">
        <v>150000</v>
      </c>
      <c r="T50" s="147"/>
      <c r="U50" s="143"/>
    </row>
    <row r="51" spans="1:21" s="144" customFormat="1">
      <c r="A51" s="283" t="s">
        <v>1864</v>
      </c>
      <c r="B51" s="146">
        <f t="shared" si="10"/>
        <v>17500</v>
      </c>
      <c r="C51" s="147">
        <v>17500</v>
      </c>
      <c r="D51" s="147"/>
      <c r="E51" s="147">
        <v>17500</v>
      </c>
      <c r="F51" s="147"/>
      <c r="G51" s="147"/>
      <c r="H51" s="147"/>
      <c r="I51" s="147"/>
      <c r="J51" s="147"/>
      <c r="K51" s="147"/>
      <c r="L51" s="147"/>
      <c r="M51" s="147"/>
      <c r="N51" s="147"/>
      <c r="O51" s="147"/>
      <c r="P51" s="147"/>
      <c r="Q51" s="147"/>
      <c r="R51" s="516">
        <f t="shared" si="11"/>
        <v>17500</v>
      </c>
      <c r="S51" s="147">
        <v>8750</v>
      </c>
      <c r="T51" s="147"/>
      <c r="U51" s="143"/>
    </row>
    <row r="52" spans="1:21" s="144" customFormat="1">
      <c r="A52" s="145" t="s">
        <v>1633</v>
      </c>
      <c r="B52" s="146">
        <f t="shared" si="10"/>
        <v>200000</v>
      </c>
      <c r="C52" s="147">
        <v>200000</v>
      </c>
      <c r="D52" s="147"/>
      <c r="E52" s="147">
        <v>200000</v>
      </c>
      <c r="F52" s="147"/>
      <c r="G52" s="147"/>
      <c r="H52" s="147"/>
      <c r="I52" s="147"/>
      <c r="J52" s="147"/>
      <c r="K52" s="147"/>
      <c r="L52" s="147"/>
      <c r="M52" s="147"/>
      <c r="N52" s="147"/>
      <c r="O52" s="147"/>
      <c r="P52" s="147"/>
      <c r="Q52" s="147"/>
      <c r="R52" s="516">
        <f t="shared" si="11"/>
        <v>200000</v>
      </c>
      <c r="S52" s="147">
        <v>133468</v>
      </c>
      <c r="T52" s="147"/>
      <c r="U52" s="143"/>
    </row>
    <row r="53" spans="1:21" s="144" customFormat="1">
      <c r="A53" s="1141" t="s">
        <v>1865</v>
      </c>
      <c r="B53" s="146">
        <f t="shared" si="10"/>
        <v>200000</v>
      </c>
      <c r="C53" s="147">
        <v>200000</v>
      </c>
      <c r="D53" s="147"/>
      <c r="E53" s="147">
        <v>200000</v>
      </c>
      <c r="F53" s="147"/>
      <c r="G53" s="147"/>
      <c r="H53" s="147"/>
      <c r="I53" s="147"/>
      <c r="J53" s="147"/>
      <c r="K53" s="147"/>
      <c r="L53" s="147"/>
      <c r="M53" s="147"/>
      <c r="N53" s="147"/>
      <c r="O53" s="147"/>
      <c r="P53" s="147"/>
      <c r="Q53" s="147"/>
      <c r="R53" s="516">
        <f t="shared" si="11"/>
        <v>200000</v>
      </c>
      <c r="S53" s="147">
        <v>200000</v>
      </c>
      <c r="T53" s="147"/>
      <c r="U53" s="143"/>
    </row>
    <row r="54" spans="1:21" s="153" customFormat="1" ht="12" customHeight="1">
      <c r="A54" s="149" t="s">
        <v>1866</v>
      </c>
      <c r="B54" s="150">
        <f>SUM(C54:D54)</f>
        <v>1302021</v>
      </c>
      <c r="C54" s="150">
        <f t="shared" ref="C54:T54" si="12">SUM(C45:C53)</f>
        <v>1302021</v>
      </c>
      <c r="D54" s="150">
        <f t="shared" si="12"/>
        <v>0</v>
      </c>
      <c r="E54" s="150">
        <f t="shared" si="12"/>
        <v>1302021</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1302021</v>
      </c>
      <c r="S54" s="150">
        <f t="shared" si="12"/>
        <v>860096</v>
      </c>
      <c r="T54" s="150">
        <f t="shared" si="12"/>
        <v>0</v>
      </c>
      <c r="U54" s="152"/>
    </row>
    <row r="55" spans="1:21" s="144" customFormat="1">
      <c r="A55" s="141" t="s">
        <v>1442</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1867</v>
      </c>
      <c r="B56" s="146">
        <f t="shared" ref="B56:B61" si="13">SUM(C56+D56)</f>
        <v>133000</v>
      </c>
      <c r="C56" s="147">
        <v>133000</v>
      </c>
      <c r="D56" s="147"/>
      <c r="E56" s="147">
        <v>133000</v>
      </c>
      <c r="F56" s="147"/>
      <c r="G56" s="147"/>
      <c r="H56" s="147"/>
      <c r="I56" s="147"/>
      <c r="J56" s="147"/>
      <c r="K56" s="147"/>
      <c r="L56" s="147"/>
      <c r="M56" s="147"/>
      <c r="N56" s="147"/>
      <c r="O56" s="147"/>
      <c r="P56" s="147"/>
      <c r="Q56" s="147"/>
      <c r="R56" s="516">
        <f t="shared" ref="R56:R61" si="14">SUM(E56:Q56)</f>
        <v>133000</v>
      </c>
      <c r="S56" s="148"/>
      <c r="T56" s="148"/>
      <c r="U56" s="143"/>
    </row>
    <row r="57" spans="1:21" s="192" customFormat="1">
      <c r="A57" s="186" t="s">
        <v>1860</v>
      </c>
      <c r="B57" s="193">
        <f t="shared" si="13"/>
        <v>250000</v>
      </c>
      <c r="C57" s="190">
        <v>250000</v>
      </c>
      <c r="D57" s="190"/>
      <c r="E57" s="190">
        <v>250000</v>
      </c>
      <c r="F57" s="190"/>
      <c r="G57" s="190"/>
      <c r="H57" s="190"/>
      <c r="I57" s="190"/>
      <c r="J57" s="190"/>
      <c r="K57" s="190"/>
      <c r="L57" s="190"/>
      <c r="M57" s="190"/>
      <c r="N57" s="190"/>
      <c r="O57" s="190"/>
      <c r="P57" s="190"/>
      <c r="Q57" s="190"/>
      <c r="R57" s="516">
        <f t="shared" si="14"/>
        <v>250000</v>
      </c>
      <c r="S57" s="194"/>
      <c r="T57" s="194"/>
      <c r="U57" s="191"/>
    </row>
    <row r="58" spans="1:21" s="144" customFormat="1">
      <c r="A58" s="145" t="s">
        <v>1863</v>
      </c>
      <c r="B58" s="146">
        <f t="shared" si="13"/>
        <v>90000</v>
      </c>
      <c r="C58" s="147">
        <v>90000</v>
      </c>
      <c r="D58" s="147"/>
      <c r="E58" s="147">
        <v>90000</v>
      </c>
      <c r="F58" s="147"/>
      <c r="G58" s="147"/>
      <c r="H58" s="147"/>
      <c r="I58" s="147"/>
      <c r="J58" s="147"/>
      <c r="K58" s="147"/>
      <c r="L58" s="147"/>
      <c r="M58" s="147"/>
      <c r="N58" s="147"/>
      <c r="O58" s="147"/>
      <c r="P58" s="147"/>
      <c r="Q58" s="147"/>
      <c r="R58" s="516">
        <f t="shared" si="14"/>
        <v>90000</v>
      </c>
      <c r="S58" s="148"/>
      <c r="T58" s="148"/>
      <c r="U58" s="143"/>
    </row>
    <row r="59" spans="1:21" s="144" customFormat="1">
      <c r="A59" s="283" t="s">
        <v>1864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1633</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1" t="s">
        <v>1868</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1869</v>
      </c>
      <c r="B62" s="146">
        <f>SUM(C62:D62)</f>
        <v>473000</v>
      </c>
      <c r="C62" s="146">
        <f t="shared" ref="C62:R62" si="15">SUM(C56:C61)</f>
        <v>473000</v>
      </c>
      <c r="D62" s="146">
        <f t="shared" si="15"/>
        <v>0</v>
      </c>
      <c r="E62" s="146">
        <f t="shared" si="15"/>
        <v>473000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473000</v>
      </c>
      <c r="S62" s="148"/>
      <c r="T62" s="148"/>
      <c r="U62" s="143"/>
    </row>
    <row r="63" spans="1:21" s="144" customFormat="1">
      <c r="A63" s="154" t="s">
        <v>1870</v>
      </c>
      <c r="B63" s="146">
        <f t="shared" ref="B63:R63" si="16">SUM(B8+B11+B13+B14+B15+B26+B27+B38+B42+B43+B54+B62)</f>
        <v>25093620</v>
      </c>
      <c r="C63" s="146">
        <f t="shared" si="16"/>
        <v>25093620</v>
      </c>
      <c r="D63" s="146">
        <f t="shared" si="16"/>
        <v>0</v>
      </c>
      <c r="E63" s="146">
        <f t="shared" si="16"/>
        <v>6234505</v>
      </c>
      <c r="F63" s="146">
        <f t="shared" si="16"/>
        <v>5600000</v>
      </c>
      <c r="G63" s="146">
        <f t="shared" si="16"/>
        <v>4425484</v>
      </c>
      <c r="H63" s="146">
        <f t="shared" si="16"/>
        <v>5694201</v>
      </c>
      <c r="I63" s="146">
        <f t="shared" si="16"/>
        <v>3139430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25093620</v>
      </c>
      <c r="S63" s="146">
        <f>SUM(S10+S13+S14+S15+S26+S27+S38+S42+S43+S54)</f>
        <v>10743695</v>
      </c>
      <c r="T63" s="146">
        <f>SUM(T11+T13+T14+T15+T26+T27+T38+T42+T43+T54)</f>
        <v>12121356</v>
      </c>
      <c r="U63" s="143"/>
    </row>
    <row r="64" spans="1:21" s="144" customFormat="1" ht="22.8" customHeight="1">
      <c r="A64" s="141" t="s">
        <v>1871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1872</v>
      </c>
      <c r="B65" s="146">
        <f>SUM(C65+D65)</f>
        <v>230000</v>
      </c>
      <c r="C65" s="147">
        <v>230000</v>
      </c>
      <c r="D65" s="147"/>
      <c r="E65" s="147">
        <v>230000</v>
      </c>
      <c r="F65" s="147"/>
      <c r="G65" s="147"/>
      <c r="H65" s="147"/>
      <c r="I65" s="147"/>
      <c r="J65" s="147"/>
      <c r="K65" s="147"/>
      <c r="L65" s="147"/>
      <c r="M65" s="147"/>
      <c r="N65" s="147"/>
      <c r="O65" s="147"/>
      <c r="P65" s="147"/>
      <c r="Q65" s="147"/>
      <c r="R65" s="516">
        <f>SUM(E65:Q65)</f>
        <v>230000</v>
      </c>
      <c r="S65" s="147">
        <v>77500</v>
      </c>
      <c r="T65" s="147"/>
      <c r="U65" s="143"/>
    </row>
    <row r="66" spans="1:21" s="144" customFormat="1" ht="24" customHeight="1">
      <c r="A66" s="283" t="s">
        <v>1873</v>
      </c>
      <c r="B66" s="146">
        <f>SUM(C66+D66)</f>
        <v>0</v>
      </c>
      <c r="C66" s="147">
        <v>0</v>
      </c>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1874</v>
      </c>
      <c r="B67" s="146">
        <f>SUM(C67+D67)</f>
        <v>0</v>
      </c>
      <c r="C67" s="147">
        <v>0</v>
      </c>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1875</v>
      </c>
      <c r="B68" s="146">
        <f>SUM(C68+D68)</f>
        <v>0</v>
      </c>
      <c r="C68" s="147">
        <v>0</v>
      </c>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1" t="s">
        <v>1847</v>
      </c>
      <c r="B69" s="146">
        <f>SUM(C69+D69)</f>
        <v>0</v>
      </c>
      <c r="C69" s="147">
        <v>0</v>
      </c>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ustomHeight="1">
      <c r="A70" s="149" t="s">
        <v>1876</v>
      </c>
      <c r="B70" s="146">
        <f>SUM(C70:D70)</f>
        <v>230000</v>
      </c>
      <c r="C70" s="146">
        <f t="shared" ref="C70:T70" si="17">SUM(C65:C69)</f>
        <v>230000</v>
      </c>
      <c r="D70" s="146">
        <f t="shared" si="17"/>
        <v>0</v>
      </c>
      <c r="E70" s="146">
        <f t="shared" si="17"/>
        <v>230000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230000</v>
      </c>
      <c r="S70" s="150">
        <f t="shared" si="17"/>
        <v>77500</v>
      </c>
      <c r="T70" s="150">
        <f t="shared" si="17"/>
        <v>0</v>
      </c>
      <c r="U70" s="143"/>
    </row>
    <row r="71" spans="1:21" s="144" customFormat="1">
      <c r="A71" s="141" t="s">
        <v>1877</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1878</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1879</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1880</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1881</v>
      </c>
      <c r="B75" s="146">
        <f>SUM(C75+D75)</f>
        <v>600000</v>
      </c>
      <c r="C75" s="147">
        <v>600000</v>
      </c>
      <c r="D75" s="147"/>
      <c r="E75" s="147">
        <v>600000</v>
      </c>
      <c r="F75" s="147"/>
      <c r="G75" s="147"/>
      <c r="H75" s="147"/>
      <c r="I75" s="147"/>
      <c r="J75" s="147"/>
      <c r="K75" s="147"/>
      <c r="L75" s="147"/>
      <c r="M75" s="147"/>
      <c r="N75" s="147"/>
      <c r="O75" s="147"/>
      <c r="P75" s="147"/>
      <c r="Q75" s="147"/>
      <c r="R75" s="516">
        <f>SUM(E75:Q75)</f>
        <v>600000</v>
      </c>
      <c r="S75" s="148"/>
      <c r="T75" s="148"/>
      <c r="U75" s="143"/>
    </row>
    <row r="76" spans="1:21" s="144" customFormat="1">
      <c r="A76" s="1141" t="s">
        <v>1882</v>
      </c>
      <c r="B76" s="146">
        <f>SUM(C76+D76)</f>
        <v>578000</v>
      </c>
      <c r="C76" s="147">
        <v>578000</v>
      </c>
      <c r="D76" s="147"/>
      <c r="E76" s="147">
        <v>578000</v>
      </c>
      <c r="F76" s="147"/>
      <c r="G76" s="147"/>
      <c r="H76" s="147"/>
      <c r="I76" s="147"/>
      <c r="J76" s="147"/>
      <c r="K76" s="147"/>
      <c r="L76" s="147"/>
      <c r="M76" s="147"/>
      <c r="N76" s="147"/>
      <c r="O76" s="147"/>
      <c r="P76" s="147"/>
      <c r="Q76" s="147"/>
      <c r="R76" s="516">
        <f>SUM(E76:Q76)</f>
        <v>578000</v>
      </c>
      <c r="S76" s="148"/>
      <c r="T76" s="148"/>
      <c r="U76" s="143"/>
    </row>
    <row r="77" spans="1:21" s="144" customFormat="1" ht="12" customHeight="1">
      <c r="A77" s="149" t="s">
        <v>1883</v>
      </c>
      <c r="B77" s="146">
        <f>SUM(C77:D77)</f>
        <v>1178000</v>
      </c>
      <c r="C77" s="146">
        <f t="shared" ref="C77:R77" si="18">SUM(C72:C76)</f>
        <v>1178000</v>
      </c>
      <c r="D77" s="146">
        <f t="shared" si="18"/>
        <v>0</v>
      </c>
      <c r="E77" s="146">
        <f t="shared" si="18"/>
        <v>1178000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 t="shared" si="18"/>
        <v>1178000</v>
      </c>
      <c r="S77" s="148"/>
      <c r="T77" s="148"/>
      <c r="U77" s="143"/>
    </row>
    <row r="78" spans="1:21" s="144" customFormat="1">
      <c r="A78" s="141" t="s">
        <v>1884</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1885</v>
      </c>
      <c r="B79" s="146">
        <f>SUM(C79:D79)</f>
        <v>913263</v>
      </c>
      <c r="C79" s="147">
        <v>913263</v>
      </c>
      <c r="D79" s="147"/>
      <c r="E79" s="147">
        <v>913263</v>
      </c>
      <c r="F79" s="147"/>
      <c r="G79" s="147"/>
      <c r="H79" s="147"/>
      <c r="I79" s="147"/>
      <c r="J79" s="147"/>
      <c r="K79" s="147"/>
      <c r="L79" s="147"/>
      <c r="M79" s="147"/>
      <c r="N79" s="147"/>
      <c r="O79" s="147"/>
      <c r="P79" s="147"/>
      <c r="Q79" s="147"/>
      <c r="R79" s="516">
        <f>SUM(E79:Q79)</f>
        <v>913263</v>
      </c>
      <c r="S79" s="147">
        <v>913263</v>
      </c>
      <c r="T79" s="147"/>
      <c r="U79" s="143"/>
    </row>
    <row r="80" spans="1:21" s="144" customFormat="1">
      <c r="A80" s="283" t="s">
        <v>1886</v>
      </c>
      <c r="B80" s="146">
        <f>SUM(C80:D80)</f>
        <v>52897</v>
      </c>
      <c r="C80" s="147">
        <v>52897</v>
      </c>
      <c r="D80" s="147"/>
      <c r="E80" s="147">
        <v>52897</v>
      </c>
      <c r="F80" s="147"/>
      <c r="G80" s="147"/>
      <c r="H80" s="147"/>
      <c r="I80" s="147"/>
      <c r="J80" s="147"/>
      <c r="K80" s="147"/>
      <c r="L80" s="147"/>
      <c r="M80" s="147"/>
      <c r="N80" s="147"/>
      <c r="O80" s="147"/>
      <c r="P80" s="147"/>
      <c r="Q80" s="147"/>
      <c r="R80" s="516">
        <f>SUM(E80:Q80)</f>
        <v>52897</v>
      </c>
      <c r="S80" s="147">
        <v>52897</v>
      </c>
      <c r="T80" s="147"/>
      <c r="U80" s="143"/>
    </row>
    <row r="81" spans="1:21" s="144" customFormat="1" ht="12" customHeight="1">
      <c r="A81" s="149" t="s">
        <v>1887</v>
      </c>
      <c r="B81" s="146">
        <f>SUM(C81:D81)</f>
        <v>966160</v>
      </c>
      <c r="C81" s="509">
        <f t="shared" ref="C81:T81" si="19">SUM(C79:C80)</f>
        <v>966160</v>
      </c>
      <c r="D81" s="509">
        <f t="shared" si="19"/>
        <v>0</v>
      </c>
      <c r="E81" s="509">
        <f t="shared" si="19"/>
        <v>966160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966160</v>
      </c>
      <c r="S81" s="509">
        <f t="shared" si="19"/>
        <v>966160</v>
      </c>
      <c r="T81" s="509">
        <f t="shared" si="19"/>
        <v>0</v>
      </c>
      <c r="U81" s="143"/>
    </row>
    <row r="82" spans="1:21" s="144" customFormat="1">
      <c r="A82" s="141" t="s">
        <v>1888</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1889</v>
      </c>
      <c r="B83" s="146">
        <f t="shared" ref="B83:B95" si="20">SUM(C83+D83)</f>
        <v>63863</v>
      </c>
      <c r="C83" s="147">
        <v>63863</v>
      </c>
      <c r="D83" s="147"/>
      <c r="E83" s="147">
        <v>63863</v>
      </c>
      <c r="F83" s="147"/>
      <c r="G83" s="147"/>
      <c r="H83" s="147"/>
      <c r="I83" s="147"/>
      <c r="J83" s="147"/>
      <c r="K83" s="147"/>
      <c r="L83" s="147"/>
      <c r="M83" s="147"/>
      <c r="N83" s="147"/>
      <c r="O83" s="147"/>
      <c r="P83" s="147"/>
      <c r="Q83" s="147"/>
      <c r="R83" s="516">
        <f t="shared" ref="R83:R95" si="21">SUM(E83:Q83)</f>
        <v>63863</v>
      </c>
      <c r="S83" s="148"/>
      <c r="T83" s="148"/>
      <c r="U83" s="143"/>
    </row>
    <row r="84" spans="1:21" s="144" customFormat="1">
      <c r="A84" s="145" t="s">
        <v>1890</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1891</v>
      </c>
      <c r="B85" s="146">
        <f t="shared" si="20"/>
        <v>0</v>
      </c>
      <c r="C85" s="147"/>
      <c r="D85" s="147"/>
      <c r="E85" s="147"/>
      <c r="F85" s="147"/>
      <c r="G85" s="147"/>
      <c r="H85" s="147"/>
      <c r="I85" s="147"/>
      <c r="J85" s="147"/>
      <c r="K85" s="147"/>
      <c r="L85" s="147"/>
      <c r="M85" s="147"/>
      <c r="N85" s="147"/>
      <c r="O85" s="147"/>
      <c r="P85" s="147"/>
      <c r="Q85" s="147"/>
      <c r="R85" s="516">
        <f t="shared" si="21"/>
        <v>0</v>
      </c>
      <c r="S85" s="147"/>
      <c r="T85" s="147"/>
      <c r="U85" s="143"/>
    </row>
    <row r="86" spans="1:21" s="144" customFormat="1">
      <c r="A86" s="145" t="s">
        <v>1892</v>
      </c>
      <c r="B86" s="146">
        <f t="shared" si="20"/>
        <v>100000</v>
      </c>
      <c r="C86" s="147">
        <v>100000</v>
      </c>
      <c r="D86" s="147"/>
      <c r="E86" s="147">
        <v>100000</v>
      </c>
      <c r="F86" s="147"/>
      <c r="G86" s="147"/>
      <c r="H86" s="147"/>
      <c r="I86" s="147"/>
      <c r="J86" s="147"/>
      <c r="K86" s="147"/>
      <c r="L86" s="147"/>
      <c r="M86" s="147"/>
      <c r="N86" s="147"/>
      <c r="O86" s="147"/>
      <c r="P86" s="147"/>
      <c r="Q86" s="147"/>
      <c r="R86" s="516">
        <f t="shared" si="21"/>
        <v>100000</v>
      </c>
      <c r="S86" s="147">
        <v>100000</v>
      </c>
      <c r="T86" s="147"/>
      <c r="U86" s="143"/>
    </row>
    <row r="87" spans="1:21" s="144" customFormat="1">
      <c r="A87" s="145" t="s">
        <v>1893</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1894</v>
      </c>
      <c r="B88" s="146">
        <f t="shared" si="20"/>
        <v>0</v>
      </c>
      <c r="C88" s="147"/>
      <c r="D88" s="147"/>
      <c r="E88" s="147"/>
      <c r="F88" s="147"/>
      <c r="G88" s="147"/>
      <c r="H88" s="147"/>
      <c r="I88" s="147"/>
      <c r="J88" s="147"/>
      <c r="K88" s="147"/>
      <c r="L88" s="147"/>
      <c r="M88" s="147"/>
      <c r="N88" s="147"/>
      <c r="O88" s="147"/>
      <c r="P88" s="147"/>
      <c r="Q88" s="147"/>
      <c r="R88" s="516">
        <f t="shared" si="21"/>
        <v>0</v>
      </c>
      <c r="S88" s="148"/>
      <c r="T88" s="148"/>
      <c r="U88" s="143"/>
    </row>
    <row r="89" spans="1:21" s="144" customFormat="1">
      <c r="A89" s="145" t="s">
        <v>1895</v>
      </c>
      <c r="B89" s="146">
        <f t="shared" si="20"/>
        <v>250000</v>
      </c>
      <c r="C89" s="147">
        <v>250000</v>
      </c>
      <c r="D89" s="147"/>
      <c r="E89" s="147">
        <v>250000</v>
      </c>
      <c r="F89" s="147"/>
      <c r="G89" s="147"/>
      <c r="H89" s="147"/>
      <c r="I89" s="147"/>
      <c r="J89" s="147"/>
      <c r="K89" s="147"/>
      <c r="L89" s="147"/>
      <c r="M89" s="147"/>
      <c r="N89" s="147"/>
      <c r="O89" s="147"/>
      <c r="P89" s="147"/>
      <c r="Q89" s="147"/>
      <c r="R89" s="516">
        <f t="shared" si="21"/>
        <v>250000</v>
      </c>
      <c r="S89" s="147">
        <v>250000</v>
      </c>
      <c r="T89" s="147"/>
      <c r="U89" s="143"/>
    </row>
    <row r="90" spans="1:21" s="144" customFormat="1">
      <c r="A90" s="145" t="s">
        <v>1896</v>
      </c>
      <c r="B90" s="146">
        <f t="shared" si="20"/>
        <v>20000</v>
      </c>
      <c r="C90" s="147">
        <v>20000</v>
      </c>
      <c r="D90" s="147"/>
      <c r="E90" s="147">
        <v>20000</v>
      </c>
      <c r="F90" s="147"/>
      <c r="G90" s="147"/>
      <c r="H90" s="147"/>
      <c r="I90" s="147"/>
      <c r="J90" s="147"/>
      <c r="K90" s="147"/>
      <c r="L90" s="147"/>
      <c r="M90" s="147"/>
      <c r="N90" s="147"/>
      <c r="O90" s="147"/>
      <c r="P90" s="147"/>
      <c r="Q90" s="147"/>
      <c r="R90" s="516">
        <f t="shared" si="21"/>
        <v>20000</v>
      </c>
      <c r="S90" s="147">
        <v>20000</v>
      </c>
      <c r="T90" s="147"/>
      <c r="U90" s="143"/>
    </row>
    <row r="91" spans="1:21" s="144" customFormat="1">
      <c r="A91" s="145" t="s">
        <v>1897</v>
      </c>
      <c r="B91" s="146">
        <f t="shared" si="20"/>
        <v>15000</v>
      </c>
      <c r="C91" s="147">
        <v>15000</v>
      </c>
      <c r="D91" s="147"/>
      <c r="E91" s="147">
        <v>15000</v>
      </c>
      <c r="F91" s="147"/>
      <c r="G91" s="147"/>
      <c r="H91" s="147"/>
      <c r="I91" s="147"/>
      <c r="J91" s="147"/>
      <c r="K91" s="147"/>
      <c r="L91" s="147"/>
      <c r="M91" s="147"/>
      <c r="N91" s="147"/>
      <c r="O91" s="147"/>
      <c r="P91" s="147"/>
      <c r="Q91" s="147"/>
      <c r="R91" s="516">
        <f t="shared" si="21"/>
        <v>15000</v>
      </c>
      <c r="S91" s="147">
        <v>15000</v>
      </c>
      <c r="T91" s="147"/>
      <c r="U91" s="143"/>
    </row>
    <row r="92" spans="1:21" s="144" customFormat="1">
      <c r="A92" s="283" t="s">
        <v>1898</v>
      </c>
      <c r="B92" s="146">
        <f t="shared" si="20"/>
        <v>0</v>
      </c>
      <c r="C92" s="147"/>
      <c r="D92" s="147"/>
      <c r="E92" s="147"/>
      <c r="F92" s="147"/>
      <c r="G92" s="147"/>
      <c r="H92" s="147"/>
      <c r="I92" s="147"/>
      <c r="J92" s="147"/>
      <c r="K92" s="147"/>
      <c r="L92" s="147"/>
      <c r="M92" s="147"/>
      <c r="N92" s="147"/>
      <c r="O92" s="147"/>
      <c r="P92" s="147"/>
      <c r="Q92" s="147"/>
      <c r="R92" s="516">
        <f t="shared" si="21"/>
        <v>0</v>
      </c>
      <c r="S92" s="147"/>
      <c r="T92" s="147"/>
      <c r="U92" s="143"/>
    </row>
    <row r="93" spans="1:21" s="144" customFormat="1">
      <c r="A93" s="1141" t="s">
        <v>1899</v>
      </c>
      <c r="B93" s="146">
        <f t="shared" si="20"/>
        <v>15000</v>
      </c>
      <c r="C93" s="147">
        <v>15000</v>
      </c>
      <c r="D93" s="147"/>
      <c r="E93" s="147">
        <v>15000</v>
      </c>
      <c r="F93" s="147"/>
      <c r="G93" s="147"/>
      <c r="H93" s="147"/>
      <c r="I93" s="147"/>
      <c r="J93" s="147"/>
      <c r="K93" s="147"/>
      <c r="L93" s="147"/>
      <c r="M93" s="147"/>
      <c r="N93" s="147"/>
      <c r="O93" s="147"/>
      <c r="P93" s="147"/>
      <c r="Q93" s="147"/>
      <c r="R93" s="516">
        <f t="shared" si="21"/>
        <v>15000</v>
      </c>
      <c r="S93" s="147">
        <v>15000</v>
      </c>
      <c r="T93" s="147"/>
      <c r="U93" s="143"/>
    </row>
    <row r="94" spans="1:21" s="144" customFormat="1">
      <c r="A94" s="1141" t="s">
        <v>1847</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1" t="s">
        <v>1847</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ustomHeight="1">
      <c r="A96" s="149" t="s">
        <v>1900</v>
      </c>
      <c r="B96" s="146">
        <f>SUM(C96:D96)</f>
        <v>463863</v>
      </c>
      <c r="C96" s="146">
        <f t="shared" ref="C96:R96" si="22">SUM(C83:C95)</f>
        <v>463863</v>
      </c>
      <c r="D96" s="146">
        <f t="shared" si="22"/>
        <v>0</v>
      </c>
      <c r="E96" s="146">
        <f t="shared" si="22"/>
        <v>463863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463863</v>
      </c>
      <c r="S96" s="150">
        <f>SUM(S84:S87,S89:S95)</f>
        <v>400000</v>
      </c>
      <c r="T96" s="146">
        <f>SUM(T84:T87,T89:T95)</f>
        <v>0</v>
      </c>
      <c r="U96" s="143"/>
    </row>
    <row r="97" spans="1:21" s="144" customFormat="1" ht="12" customHeight="1">
      <c r="A97" s="149" t="s">
        <v>1901</v>
      </c>
      <c r="B97" s="146">
        <f>SUM(C97:D97)</f>
        <v>27931643</v>
      </c>
      <c r="C97" s="146">
        <f t="shared" ref="C97:R97" si="23">SUM(C63+C70+C77+C81+C96)</f>
        <v>27931643</v>
      </c>
      <c r="D97" s="146">
        <f t="shared" si="23"/>
        <v>0</v>
      </c>
      <c r="E97" s="146">
        <f t="shared" si="23"/>
        <v>9072528</v>
      </c>
      <c r="F97" s="146">
        <f t="shared" si="23"/>
        <v>5600000</v>
      </c>
      <c r="G97" s="146">
        <f t="shared" si="23"/>
        <v>4425484</v>
      </c>
      <c r="H97" s="146">
        <f t="shared" si="23"/>
        <v>5694201</v>
      </c>
      <c r="I97" s="146">
        <f t="shared" si="23"/>
        <v>3139430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27931643</v>
      </c>
      <c r="S97" s="146">
        <f>SUM(S63+S70+S81+S96)</f>
        <v>12187355</v>
      </c>
      <c r="T97" s="146">
        <f>SUM(T63+T70+T81+T96)</f>
        <v>12121356</v>
      </c>
      <c r="U97" s="143"/>
    </row>
    <row r="98" spans="1:21" s="144" customFormat="1">
      <c r="A98" s="141" t="s">
        <v>1902</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1903</v>
      </c>
      <c r="B99" s="146">
        <f>SUM(C99+D99)</f>
        <v>3043539</v>
      </c>
      <c r="C99" s="974">
        <v>3043539</v>
      </c>
      <c r="D99" s="974"/>
      <c r="E99" s="974">
        <f>+C99-J99</f>
        <v>1083160</v>
      </c>
      <c r="F99" s="147"/>
      <c r="G99" s="147"/>
      <c r="H99" s="147"/>
      <c r="I99" s="147"/>
      <c r="J99" s="147">
        <v>1960379</v>
      </c>
      <c r="K99" s="147"/>
      <c r="L99" s="147"/>
      <c r="M99" s="147"/>
      <c r="N99" s="147"/>
      <c r="O99" s="147"/>
      <c r="P99" s="147"/>
      <c r="Q99" s="147"/>
      <c r="R99" s="516">
        <f>SUM(E99:Q99)</f>
        <v>3043539</v>
      </c>
      <c r="S99" s="147">
        <v>2437471</v>
      </c>
      <c r="T99" s="147">
        <v>606068</v>
      </c>
      <c r="U99" s="143"/>
    </row>
    <row r="100" spans="1:21" s="144" customFormat="1">
      <c r="A100" s="283" t="s">
        <v>1904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1905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1906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1" t="s">
        <v>1847</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ustomHeight="1">
      <c r="A104" s="149" t="s">
        <v>1907</v>
      </c>
      <c r="B104" s="146">
        <f>SUM(C104:D104)</f>
        <v>3043539</v>
      </c>
      <c r="C104" s="146">
        <f t="shared" ref="C104:T104" si="24">SUM(C99:C103)</f>
        <v>3043539</v>
      </c>
      <c r="D104" s="146">
        <f t="shared" si="24"/>
        <v>0</v>
      </c>
      <c r="E104" s="146">
        <f t="shared" si="24"/>
        <v>1083160</v>
      </c>
      <c r="F104" s="146">
        <f t="shared" si="24"/>
        <v>0</v>
      </c>
      <c r="G104" s="146">
        <f t="shared" si="24"/>
        <v>0</v>
      </c>
      <c r="H104" s="146">
        <f t="shared" si="24"/>
        <v>0</v>
      </c>
      <c r="I104" s="146">
        <f t="shared" si="24"/>
        <v>0</v>
      </c>
      <c r="J104" s="146">
        <f t="shared" si="24"/>
        <v>1960379</v>
      </c>
      <c r="K104" s="146">
        <f t="shared" si="24"/>
        <v>0</v>
      </c>
      <c r="L104" s="146">
        <f t="shared" si="24"/>
        <v>0</v>
      </c>
      <c r="M104" s="146">
        <f t="shared" si="24"/>
        <v>0</v>
      </c>
      <c r="N104" s="146">
        <f t="shared" si="24"/>
        <v>0</v>
      </c>
      <c r="O104" s="146">
        <f t="shared" si="24"/>
        <v>0</v>
      </c>
      <c r="P104" s="146">
        <f t="shared" si="24"/>
        <v>0</v>
      </c>
      <c r="Q104" s="146">
        <f t="shared" si="24"/>
        <v>0</v>
      </c>
      <c r="R104" s="342">
        <f t="shared" si="24"/>
        <v>3043539</v>
      </c>
      <c r="S104" s="150">
        <f t="shared" si="24"/>
        <v>2437471</v>
      </c>
      <c r="T104" s="150">
        <f t="shared" si="24"/>
        <v>606068</v>
      </c>
      <c r="U104" s="143"/>
    </row>
    <row r="105" spans="1:21" s="144" customFormat="1" ht="12" customHeight="1">
      <c r="A105" s="149" t="s">
        <v>1908</v>
      </c>
      <c r="B105" s="150">
        <f>SUM(C105:D105)</f>
        <v>30975182</v>
      </c>
      <c r="C105" s="150">
        <f t="shared" ref="C105:R105" si="25">SUM(C97+C104)</f>
        <v>30975182</v>
      </c>
      <c r="D105" s="150">
        <f t="shared" si="25"/>
        <v>0</v>
      </c>
      <c r="E105" s="150">
        <f t="shared" si="25"/>
        <v>10155688</v>
      </c>
      <c r="F105" s="150">
        <f t="shared" si="25"/>
        <v>5600000</v>
      </c>
      <c r="G105" s="150">
        <f t="shared" si="25"/>
        <v>4425484</v>
      </c>
      <c r="H105" s="150">
        <f t="shared" si="25"/>
        <v>5694201</v>
      </c>
      <c r="I105" s="150">
        <f t="shared" si="25"/>
        <v>3139430</v>
      </c>
      <c r="J105" s="150">
        <f t="shared" si="25"/>
        <v>1960379</v>
      </c>
      <c r="K105" s="150">
        <f t="shared" si="25"/>
        <v>0</v>
      </c>
      <c r="L105" s="150">
        <f t="shared" si="25"/>
        <v>0</v>
      </c>
      <c r="M105" s="150">
        <f t="shared" si="25"/>
        <v>0</v>
      </c>
      <c r="N105" s="150">
        <f t="shared" si="25"/>
        <v>0</v>
      </c>
      <c r="O105" s="150">
        <f t="shared" si="25"/>
        <v>0</v>
      </c>
      <c r="P105" s="150">
        <f t="shared" si="25"/>
        <v>0</v>
      </c>
      <c r="Q105" s="150">
        <f t="shared" si="25"/>
        <v>0</v>
      </c>
      <c r="R105" s="342">
        <f t="shared" si="25"/>
        <v>30975182</v>
      </c>
      <c r="S105" s="150">
        <f>S97+S104</f>
        <v>14624826</v>
      </c>
      <c r="T105" s="150">
        <f>T97+T104</f>
        <v>12727424</v>
      </c>
      <c r="U105" s="143"/>
    </row>
    <row r="106" spans="1:21" ht="12" customHeight="1">
      <c r="A106" s="514" t="s">
        <v>1909</v>
      </c>
      <c r="B106" s="157"/>
      <c r="C106" s="157"/>
      <c r="D106" s="157"/>
      <c r="H106" s="159" t="s">
        <v>1910</v>
      </c>
      <c r="I106" s="159"/>
      <c r="J106" s="159"/>
      <c r="R106" s="160" t="s">
        <v>1911</v>
      </c>
      <c r="S106" s="147"/>
      <c r="T106" s="147"/>
    </row>
    <row r="107" spans="1:21" ht="12" customHeight="1">
      <c r="A107" s="157" t="s">
        <v>1912</v>
      </c>
      <c r="C107" s="157"/>
      <c r="D107" s="157"/>
      <c r="I107" s="162" t="s">
        <v>1913</v>
      </c>
      <c r="J107" s="162"/>
      <c r="R107" s="160" t="s">
        <v>1914</v>
      </c>
      <c r="S107" s="150">
        <f>S105+S106</f>
        <v>14624826</v>
      </c>
      <c r="T107" s="150">
        <f>T105+T106</f>
        <v>12727424</v>
      </c>
    </row>
    <row r="108" spans="1:21" s="189" customFormat="1" ht="12" customHeight="1">
      <c r="A108" s="162" t="s">
        <v>1915</v>
      </c>
      <c r="B108" s="157"/>
      <c r="C108" s="157"/>
      <c r="D108" s="157"/>
      <c r="E108" s="301">
        <f>Application!AO648</f>
        <v>10155688</v>
      </c>
      <c r="F108" s="301">
        <f>Application!AO635</f>
        <v>5600000</v>
      </c>
      <c r="G108" s="301">
        <f>Application!AO636</f>
        <v>4425484</v>
      </c>
      <c r="H108" s="301">
        <f>Application!AO637</f>
        <v>5694201</v>
      </c>
      <c r="I108" s="301">
        <f>Application!AO638</f>
        <v>3139430</v>
      </c>
      <c r="J108" s="301">
        <f>Application!AO639</f>
        <v>1960379</v>
      </c>
      <c r="K108" s="301">
        <f>Application!AO640</f>
        <v>0</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99999999999999" customHeight="1">
      <c r="A109" s="157"/>
      <c r="B109" s="157"/>
      <c r="C109" s="157"/>
      <c r="D109" s="157"/>
    </row>
    <row r="110" spans="1:21" ht="12" customHeight="1">
      <c r="A110" s="162" t="s">
        <v>1916</v>
      </c>
      <c r="B110" s="157"/>
      <c r="C110" s="157"/>
      <c r="D110" s="157"/>
    </row>
    <row r="111" spans="1:21" ht="12" customHeight="1">
      <c r="A111" s="156" t="s">
        <v>1917</v>
      </c>
      <c r="B111" s="157"/>
      <c r="C111" s="157"/>
      <c r="D111" s="157"/>
    </row>
    <row r="112" spans="1:21" ht="12" customHeight="1">
      <c r="A112" s="312"/>
      <c r="B112" s="157"/>
      <c r="C112" s="157"/>
      <c r="D112" s="157"/>
    </row>
    <row r="113" spans="1:21" ht="12" customHeight="1">
      <c r="A113" s="156" t="s">
        <v>1918</v>
      </c>
      <c r="B113" s="157"/>
      <c r="C113" s="157"/>
      <c r="D113" s="157"/>
    </row>
    <row r="114" spans="1:21" ht="12" customHeight="1">
      <c r="A114" s="156" t="s">
        <v>1919</v>
      </c>
      <c r="B114" s="157"/>
      <c r="C114" s="157"/>
      <c r="D114" s="157"/>
    </row>
    <row r="115" spans="1:21" ht="12" customHeight="1">
      <c r="A115" s="312"/>
      <c r="B115" s="157"/>
      <c r="C115" s="157"/>
      <c r="D115" s="157"/>
    </row>
    <row r="116" spans="1:21" ht="12" customHeight="1">
      <c r="A116" s="345" t="s">
        <v>1920</v>
      </c>
      <c r="B116" s="157"/>
      <c r="C116" s="157"/>
      <c r="D116" s="157"/>
    </row>
    <row r="117" spans="1:21" ht="12" customHeight="1">
      <c r="A117" s="345" t="s">
        <v>1921</v>
      </c>
      <c r="B117" s="157"/>
      <c r="C117" s="157"/>
      <c r="D117" s="157"/>
    </row>
    <row r="118" spans="1:21" ht="12" customHeight="1">
      <c r="A118" s="345" t="s">
        <v>1922</v>
      </c>
      <c r="B118" s="157"/>
      <c r="C118" s="157"/>
      <c r="D118" s="157"/>
    </row>
    <row r="119" spans="1:21" ht="12" customHeight="1">
      <c r="A119" s="345" t="s">
        <v>1923</v>
      </c>
      <c r="B119" s="157"/>
      <c r="C119" s="157"/>
      <c r="D119" s="157"/>
    </row>
    <row r="120" spans="1:21" ht="12" customHeight="1">
      <c r="A120" s="344"/>
      <c r="B120" s="157"/>
      <c r="C120" s="157"/>
      <c r="D120" s="157"/>
    </row>
    <row r="121" spans="1:21" ht="15.6" customHeight="1">
      <c r="A121" s="338" t="s">
        <v>1924</v>
      </c>
      <c r="B121" s="157"/>
      <c r="C121" s="157"/>
      <c r="D121" s="157"/>
    </row>
    <row r="122" spans="1:21">
      <c r="A122" s="325" t="s">
        <v>1925</v>
      </c>
      <c r="B122" s="324"/>
      <c r="C122" s="324"/>
      <c r="D122" s="1677" t="s">
        <v>1926</v>
      </c>
      <c r="E122" s="1673"/>
      <c r="F122" s="1673"/>
      <c r="G122" s="324"/>
      <c r="H122" s="324"/>
      <c r="I122" s="324"/>
      <c r="J122" s="324"/>
      <c r="K122" s="324"/>
      <c r="L122" s="324"/>
      <c r="M122" s="324"/>
      <c r="N122" s="324"/>
      <c r="O122" s="324"/>
      <c r="P122" s="324"/>
      <c r="Q122" s="324"/>
      <c r="R122" s="324"/>
      <c r="S122" s="324"/>
      <c r="T122" s="324"/>
      <c r="U122" s="326"/>
    </row>
    <row r="123" spans="1:21">
      <c r="A123" s="324" t="s">
        <v>1927</v>
      </c>
      <c r="B123" s="333"/>
      <c r="C123" s="324"/>
      <c r="D123" s="1675" t="s">
        <v>1928</v>
      </c>
      <c r="E123" s="1673"/>
      <c r="F123" s="1673"/>
      <c r="G123" s="1673"/>
      <c r="H123" s="1673"/>
      <c r="I123" s="1673"/>
      <c r="J123" s="1673"/>
      <c r="K123" s="1673"/>
      <c r="L123" s="1673"/>
      <c r="M123" s="1673"/>
      <c r="N123" s="1673"/>
      <c r="O123" s="1673"/>
      <c r="P123" s="1673"/>
      <c r="Q123" s="1673"/>
      <c r="R123" s="1673"/>
      <c r="S123" s="1673"/>
      <c r="T123" s="324"/>
      <c r="U123" s="326"/>
    </row>
    <row r="124" spans="1:21" ht="13.2" customHeight="1">
      <c r="A124" s="117" t="s">
        <v>1929</v>
      </c>
      <c r="B124" s="333"/>
      <c r="C124" s="117"/>
      <c r="D124" s="1673"/>
      <c r="E124" s="1673"/>
      <c r="F124" s="1673"/>
      <c r="G124" s="1673"/>
      <c r="H124" s="1673"/>
      <c r="I124" s="1673"/>
      <c r="J124" s="1673"/>
      <c r="K124" s="1673"/>
      <c r="L124" s="1673"/>
      <c r="M124" s="1673"/>
      <c r="N124" s="1673"/>
      <c r="O124" s="1673"/>
      <c r="P124" s="1673"/>
      <c r="Q124" s="1673"/>
      <c r="R124" s="1673"/>
      <c r="S124" s="1673"/>
      <c r="T124" s="324"/>
      <c r="U124" s="326"/>
    </row>
    <row r="125" spans="1:21" ht="13.2" customHeight="1">
      <c r="A125" s="117" t="s">
        <v>1930</v>
      </c>
      <c r="B125" s="333"/>
      <c r="C125" s="117"/>
      <c r="D125" s="1673"/>
      <c r="E125" s="1673"/>
      <c r="F125" s="1673"/>
      <c r="G125" s="1673"/>
      <c r="H125" s="1673"/>
      <c r="I125" s="1673"/>
      <c r="J125" s="1673"/>
      <c r="K125" s="1673"/>
      <c r="L125" s="1673"/>
      <c r="M125" s="1673"/>
      <c r="N125" s="1673"/>
      <c r="O125" s="1673"/>
      <c r="P125" s="1673"/>
      <c r="Q125" s="1673"/>
      <c r="R125" s="1673"/>
      <c r="S125" s="1673"/>
      <c r="T125" s="324"/>
      <c r="U125" s="326"/>
    </row>
    <row r="126" spans="1:21" ht="13.2" customHeight="1">
      <c r="A126" s="117" t="s">
        <v>1931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ustomHeight="1">
      <c r="A127" s="117" t="s">
        <v>1932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ustomHeight="1">
      <c r="A128" s="117" t="s">
        <v>1933</v>
      </c>
      <c r="B128" s="333"/>
      <c r="C128" s="117"/>
      <c r="D128" s="1669"/>
      <c r="E128" s="1405"/>
      <c r="F128" s="1405"/>
      <c r="G128" s="1405"/>
      <c r="H128" s="1405"/>
      <c r="I128" s="117"/>
      <c r="J128" s="1670"/>
      <c r="K128" s="1294"/>
      <c r="L128" s="117"/>
      <c r="M128" s="117"/>
      <c r="N128" s="117"/>
      <c r="O128" s="117"/>
      <c r="P128" s="117"/>
      <c r="Q128" s="117"/>
      <c r="R128" s="117"/>
      <c r="S128" s="117"/>
      <c r="T128" s="324"/>
      <c r="U128" s="326"/>
    </row>
    <row r="129" spans="1:21" ht="13.2" customHeight="1">
      <c r="A129" s="117" t="s">
        <v>1168</v>
      </c>
      <c r="B129" s="333"/>
      <c r="C129" s="117"/>
      <c r="D129" s="1674" t="s">
        <v>1934</v>
      </c>
      <c r="E129" s="1417"/>
      <c r="F129" s="1417"/>
      <c r="G129" s="1417"/>
      <c r="H129" s="1417"/>
      <c r="I129" s="117"/>
      <c r="J129" s="117" t="s">
        <v>1935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ustomHeight="1">
      <c r="A131" s="335" t="s">
        <v>1936</v>
      </c>
      <c r="B131" s="334">
        <f>SUM(B123:B129)</f>
        <v>0</v>
      </c>
      <c r="C131" s="117"/>
      <c r="D131" s="1595"/>
      <c r="E131" s="1294"/>
      <c r="F131" s="1294"/>
      <c r="G131" s="1294"/>
      <c r="H131" s="1294"/>
      <c r="I131" s="117"/>
      <c r="J131" s="1595"/>
      <c r="K131" s="1294"/>
      <c r="L131" s="1294"/>
      <c r="M131" s="1294"/>
      <c r="N131" s="117"/>
      <c r="O131" s="117"/>
      <c r="P131" s="117"/>
      <c r="Q131" s="117"/>
      <c r="R131" s="117"/>
      <c r="S131" s="117"/>
      <c r="T131" s="324"/>
      <c r="U131" s="326"/>
    </row>
    <row r="132" spans="1:21" ht="12" customHeight="1">
      <c r="A132" s="336"/>
      <c r="B132" s="117"/>
      <c r="C132" s="117"/>
      <c r="D132" s="1672" t="s">
        <v>1937</v>
      </c>
      <c r="E132" s="1673"/>
      <c r="F132" s="1673"/>
      <c r="G132" s="1673"/>
      <c r="H132" s="1673"/>
      <c r="I132" s="117"/>
      <c r="J132" s="1672" t="s">
        <v>1938</v>
      </c>
      <c r="K132" s="1673"/>
      <c r="L132" s="1673"/>
      <c r="M132" s="167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ustomHeight="1">
      <c r="A134" s="91" t="s">
        <v>1939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ustomHeight="1">
      <c r="A135" s="312" t="s">
        <v>1940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ustomHeight="1">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676"/>
      <c r="B138" s="1405"/>
      <c r="C138" s="1405"/>
      <c r="D138" s="328"/>
      <c r="E138" s="1670"/>
      <c r="F138" s="1294"/>
      <c r="G138" s="117"/>
      <c r="H138" s="117"/>
      <c r="I138" s="117"/>
      <c r="J138" s="117"/>
      <c r="K138" s="117"/>
      <c r="L138" s="117"/>
      <c r="M138" s="117"/>
      <c r="N138" s="117"/>
      <c r="O138" s="117"/>
      <c r="P138" s="117"/>
      <c r="Q138" s="117"/>
      <c r="R138" s="117"/>
      <c r="S138" s="117"/>
      <c r="T138" s="330"/>
      <c r="U138" s="331"/>
    </row>
    <row r="139" spans="1:21" ht="13.2" customHeight="1">
      <c r="A139" s="1671" t="s">
        <v>1941</v>
      </c>
      <c r="B139" s="1417"/>
      <c r="C139" s="1417"/>
      <c r="D139" s="328"/>
      <c r="E139" s="117" t="s">
        <v>1935</v>
      </c>
      <c r="F139" s="117"/>
      <c r="G139" s="117"/>
      <c r="H139" s="117"/>
      <c r="I139" s="117"/>
      <c r="J139" s="117"/>
      <c r="K139" s="117"/>
      <c r="L139" s="117"/>
      <c r="M139" s="117"/>
      <c r="N139" s="117"/>
      <c r="O139" s="117"/>
      <c r="P139" s="117"/>
      <c r="Q139" s="117"/>
      <c r="R139" s="117"/>
      <c r="S139" s="117"/>
      <c r="T139" s="330"/>
      <c r="U139" s="331"/>
    </row>
    <row r="140" spans="1:21" ht="13.2" customHeight="1">
      <c r="A140" s="336"/>
      <c r="B140" s="117"/>
      <c r="C140" s="117"/>
      <c r="D140" s="328"/>
      <c r="E140" s="117"/>
      <c r="F140" s="117"/>
      <c r="G140" s="117"/>
      <c r="H140" s="117"/>
      <c r="I140" s="117"/>
      <c r="J140" s="117"/>
      <c r="K140" s="117"/>
      <c r="L140" s="117"/>
      <c r="M140" s="117"/>
      <c r="N140" s="117"/>
      <c r="O140" s="117"/>
      <c r="P140" s="117"/>
      <c r="Q140" s="117"/>
      <c r="R140" s="117"/>
      <c r="S140" s="117"/>
      <c r="T140" s="327"/>
      <c r="U140" s="329"/>
    </row>
  </sheetData>
  <sheetProtection algorithmName="SHA-512" hashValue="soPcBJ50ZgH3eWjIiYeTRgRXM9/zYzWepBtyNl3Jgsd697zl+JWK0hvg4z9Ao7qsNU/1a5FJrEhOuVZlTRNnKA==" saltValue="iUnut2I8JDsg1jfHQ7FHKw==" spinCount="100000" sheet="1" objects="1" scenarios="1"/>
  <mergeCells count="13">
    <mergeCell ref="F1:R1"/>
    <mergeCell ref="D128:H128"/>
    <mergeCell ref="J128:K128"/>
    <mergeCell ref="A139:C139"/>
    <mergeCell ref="D132:H132"/>
    <mergeCell ref="D129:H129"/>
    <mergeCell ref="D131:H131"/>
    <mergeCell ref="D123:S125"/>
    <mergeCell ref="J131:M131"/>
    <mergeCell ref="A138:C138"/>
    <mergeCell ref="J132:M132"/>
    <mergeCell ref="D122:F122"/>
    <mergeCell ref="E138:F138"/>
  </mergeCells>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A1:A24 A26:A36 A38:A52 A54:A60 A62:A68 A70:A75 A77:A92 A96:A102 A104:A1048576 B1:XFD1048576" xr:uid="{00000000-0002-0000-0400-000000000000}">
      <formula1>0</formula1>
    </dataValidation>
    <dataValidation operator="greaterThanOrEqual" allowBlank="1" showInputMessage="1" showErrorMessage="1" sqref="A25 A37 A53 A61 A69 A76 A93:A95 A103" xr:uid="{00000000-0002-0000-0400-000001000000}"/>
  </dataValidations>
  <printOptions horizontalCentered="1"/>
  <pageMargins left="0.25" right="0.25" top="0.5" bottom="0.5" header="0.25" footer="0.25"/>
  <pageSetup paperSize="5" scale="55" firstPageNumber="25" fitToHeight="2" orientation="landscape" useFirstPageNumber="1" r:id="rId1"/>
  <headerFooter alignWithMargins="0">
    <oddFooter>&amp;C&amp;P&amp;R&amp;A</oddFooter>
  </headerFooter>
  <rowBreaks count="1" manualBreakCount="1">
    <brk id="70" max="19" man="1"/>
  </row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WVR142"/>
  <sheetViews>
    <sheetView showGridLines="0" topLeftCell="A84" workbookViewId="0">
      <selection activeCell="F102" sqref="F102"/>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ustomWidth="1"/>
    <col min="257" max="257" width="32.6640625" style="393" hidden="1" customWidth="1"/>
    <col min="258" max="259" width="12.109375" style="393" hidden="1" customWidth="1"/>
    <col min="260" max="260" width="12.88671875" style="393" hidden="1" customWidth="1"/>
    <col min="261" max="266" width="12.109375" style="393" hidden="1" customWidth="1"/>
    <col min="267" max="512" width="8.88671875" style="393" hidden="1" customWidth="1"/>
    <col min="513" max="513" width="32.6640625" style="393" hidden="1" customWidth="1"/>
    <col min="514" max="515" width="12.109375" style="393" hidden="1" customWidth="1"/>
    <col min="516" max="516" width="12.88671875" style="393" hidden="1" customWidth="1"/>
    <col min="517" max="522" width="12.109375" style="393" hidden="1" customWidth="1"/>
    <col min="523" max="768" width="8.88671875" style="393" hidden="1" customWidth="1"/>
    <col min="769" max="769" width="32.6640625" style="393" hidden="1" customWidth="1"/>
    <col min="770" max="771" width="12.109375" style="393" hidden="1" customWidth="1"/>
    <col min="772" max="772" width="12.88671875" style="393" hidden="1" customWidth="1"/>
    <col min="773" max="778" width="12.109375" style="393" hidden="1" customWidth="1"/>
    <col min="779" max="1024" width="8.88671875" style="393" hidden="1" customWidth="1"/>
    <col min="1025" max="1025" width="32.6640625" style="393" hidden="1" customWidth="1"/>
    <col min="1026" max="1027" width="12.109375" style="393" hidden="1" customWidth="1"/>
    <col min="1028" max="1028" width="12.88671875" style="393" hidden="1" customWidth="1"/>
    <col min="1029" max="1034" width="12.109375" style="393" hidden="1" customWidth="1"/>
    <col min="1035" max="1280" width="8.88671875" style="393" hidden="1" customWidth="1"/>
    <col min="1281" max="1281" width="32.6640625" style="393" hidden="1" customWidth="1"/>
    <col min="1282" max="1283" width="12.109375" style="393" hidden="1" customWidth="1"/>
    <col min="1284" max="1284" width="12.88671875" style="393" hidden="1" customWidth="1"/>
    <col min="1285" max="1290" width="12.109375" style="393" hidden="1" customWidth="1"/>
    <col min="1291" max="1536" width="8.88671875" style="393" hidden="1" customWidth="1"/>
    <col min="1537" max="1537" width="32.6640625" style="393" hidden="1" customWidth="1"/>
    <col min="1538" max="1539" width="12.109375" style="393" hidden="1" customWidth="1"/>
    <col min="1540" max="1540" width="12.88671875" style="393" hidden="1" customWidth="1"/>
    <col min="1541" max="1546" width="12.109375" style="393" hidden="1" customWidth="1"/>
    <col min="1547" max="1792" width="8.88671875" style="393" hidden="1" customWidth="1"/>
    <col min="1793" max="1793" width="32.6640625" style="393" hidden="1" customWidth="1"/>
    <col min="1794" max="1795" width="12.109375" style="393" hidden="1" customWidth="1"/>
    <col min="1796" max="1796" width="12.88671875" style="393" hidden="1" customWidth="1"/>
    <col min="1797" max="1802" width="12.109375" style="393" hidden="1" customWidth="1"/>
    <col min="1803" max="2048" width="8.88671875" style="393" hidden="1" customWidth="1"/>
    <col min="2049" max="2049" width="32.6640625" style="393" hidden="1" customWidth="1"/>
    <col min="2050" max="2051" width="12.109375" style="393" hidden="1" customWidth="1"/>
    <col min="2052" max="2052" width="12.88671875" style="393" hidden="1" customWidth="1"/>
    <col min="2053" max="2058" width="12.109375" style="393" hidden="1" customWidth="1"/>
    <col min="2059" max="2304" width="8.88671875" style="393" hidden="1" customWidth="1"/>
    <col min="2305" max="2305" width="32.6640625" style="393" hidden="1" customWidth="1"/>
    <col min="2306" max="2307" width="12.109375" style="393" hidden="1" customWidth="1"/>
    <col min="2308" max="2308" width="12.88671875" style="393" hidden="1" customWidth="1"/>
    <col min="2309" max="2314" width="12.109375" style="393" hidden="1" customWidth="1"/>
    <col min="2315" max="2560" width="8.88671875" style="393" hidden="1" customWidth="1"/>
    <col min="2561" max="2561" width="32.6640625" style="393" hidden="1" customWidth="1"/>
    <col min="2562" max="2563" width="12.109375" style="393" hidden="1" customWidth="1"/>
    <col min="2564" max="2564" width="12.88671875" style="393" hidden="1" customWidth="1"/>
    <col min="2565" max="2570" width="12.109375" style="393" hidden="1" customWidth="1"/>
    <col min="2571" max="2816" width="8.88671875" style="393" hidden="1" customWidth="1"/>
    <col min="2817" max="2817" width="32.6640625" style="393" hidden="1" customWidth="1"/>
    <col min="2818" max="2819" width="12.109375" style="393" hidden="1" customWidth="1"/>
    <col min="2820" max="2820" width="12.88671875" style="393" hidden="1" customWidth="1"/>
    <col min="2821" max="2826" width="12.109375" style="393" hidden="1" customWidth="1"/>
    <col min="2827" max="3072" width="8.88671875" style="393" hidden="1" customWidth="1"/>
    <col min="3073" max="3073" width="32.6640625" style="393" hidden="1" customWidth="1"/>
    <col min="3074" max="3075" width="12.109375" style="393" hidden="1" customWidth="1"/>
    <col min="3076" max="3076" width="12.88671875" style="393" hidden="1" customWidth="1"/>
    <col min="3077" max="3082" width="12.109375" style="393" hidden="1" customWidth="1"/>
    <col min="3083" max="3328" width="8.88671875" style="393" hidden="1" customWidth="1"/>
    <col min="3329" max="3329" width="32.6640625" style="393" hidden="1" customWidth="1"/>
    <col min="3330" max="3331" width="12.109375" style="393" hidden="1" customWidth="1"/>
    <col min="3332" max="3332" width="12.88671875" style="393" hidden="1" customWidth="1"/>
    <col min="3333" max="3338" width="12.109375" style="393" hidden="1" customWidth="1"/>
    <col min="3339" max="3584" width="8.88671875" style="393" hidden="1" customWidth="1"/>
    <col min="3585" max="3585" width="32.6640625" style="393" hidden="1" customWidth="1"/>
    <col min="3586" max="3587" width="12.109375" style="393" hidden="1" customWidth="1"/>
    <col min="3588" max="3588" width="12.88671875" style="393" hidden="1" customWidth="1"/>
    <col min="3589" max="3594" width="12.109375" style="393" hidden="1" customWidth="1"/>
    <col min="3595" max="3840" width="8.88671875" style="393" hidden="1" customWidth="1"/>
    <col min="3841" max="3841" width="32.6640625" style="393" hidden="1" customWidth="1"/>
    <col min="3842" max="3843" width="12.109375" style="393" hidden="1" customWidth="1"/>
    <col min="3844" max="3844" width="12.88671875" style="393" hidden="1" customWidth="1"/>
    <col min="3845" max="3850" width="12.109375" style="393" hidden="1" customWidth="1"/>
    <col min="3851" max="4096" width="8.88671875" style="393" hidden="1" customWidth="1"/>
    <col min="4097" max="4097" width="32.6640625" style="393" hidden="1" customWidth="1"/>
    <col min="4098" max="4099" width="12.109375" style="393" hidden="1" customWidth="1"/>
    <col min="4100" max="4100" width="12.88671875" style="393" hidden="1" customWidth="1"/>
    <col min="4101" max="4106" width="12.109375" style="393" hidden="1" customWidth="1"/>
    <col min="4107" max="4352" width="8.88671875" style="393" hidden="1" customWidth="1"/>
    <col min="4353" max="4353" width="32.6640625" style="393" hidden="1" customWidth="1"/>
    <col min="4354" max="4355" width="12.109375" style="393" hidden="1" customWidth="1"/>
    <col min="4356" max="4356" width="12.88671875" style="393" hidden="1" customWidth="1"/>
    <col min="4357" max="4362" width="12.109375" style="393" hidden="1" customWidth="1"/>
    <col min="4363" max="4608" width="8.88671875" style="393" hidden="1" customWidth="1"/>
    <col min="4609" max="4609" width="32.6640625" style="393" hidden="1" customWidth="1"/>
    <col min="4610" max="4611" width="12.109375" style="393" hidden="1" customWidth="1"/>
    <col min="4612" max="4612" width="12.88671875" style="393" hidden="1" customWidth="1"/>
    <col min="4613" max="4618" width="12.109375" style="393" hidden="1" customWidth="1"/>
    <col min="4619" max="4864" width="8.88671875" style="393" hidden="1" customWidth="1"/>
    <col min="4865" max="4865" width="32.6640625" style="393" hidden="1" customWidth="1"/>
    <col min="4866" max="4867" width="12.109375" style="393" hidden="1" customWidth="1"/>
    <col min="4868" max="4868" width="12.88671875" style="393" hidden="1" customWidth="1"/>
    <col min="4869" max="4874" width="12.109375" style="393" hidden="1" customWidth="1"/>
    <col min="4875" max="5120" width="8.88671875" style="393" hidden="1" customWidth="1"/>
    <col min="5121" max="5121" width="32.6640625" style="393" hidden="1" customWidth="1"/>
    <col min="5122" max="5123" width="12.109375" style="393" hidden="1" customWidth="1"/>
    <col min="5124" max="5124" width="12.88671875" style="393" hidden="1" customWidth="1"/>
    <col min="5125" max="5130" width="12.109375" style="393" hidden="1" customWidth="1"/>
    <col min="5131" max="5376" width="8.88671875" style="393" hidden="1" customWidth="1"/>
    <col min="5377" max="5377" width="32.6640625" style="393" hidden="1" customWidth="1"/>
    <col min="5378" max="5379" width="12.109375" style="393" hidden="1" customWidth="1"/>
    <col min="5380" max="5380" width="12.88671875" style="393" hidden="1" customWidth="1"/>
    <col min="5381" max="5386" width="12.109375" style="393" hidden="1" customWidth="1"/>
    <col min="5387" max="5632" width="8.88671875" style="393" hidden="1" customWidth="1"/>
    <col min="5633" max="5633" width="32.6640625" style="393" hidden="1" customWidth="1"/>
    <col min="5634" max="5635" width="12.109375" style="393" hidden="1" customWidth="1"/>
    <col min="5636" max="5636" width="12.88671875" style="393" hidden="1" customWidth="1"/>
    <col min="5637" max="5642" width="12.109375" style="393" hidden="1" customWidth="1"/>
    <col min="5643" max="5888" width="8.88671875" style="393" hidden="1" customWidth="1"/>
    <col min="5889" max="5889" width="32.6640625" style="393" hidden="1" customWidth="1"/>
    <col min="5890" max="5891" width="12.109375" style="393" hidden="1" customWidth="1"/>
    <col min="5892" max="5892" width="12.88671875" style="393" hidden="1" customWidth="1"/>
    <col min="5893" max="5898" width="12.109375" style="393" hidden="1" customWidth="1"/>
    <col min="5899" max="6144" width="8.88671875" style="393" hidden="1" customWidth="1"/>
    <col min="6145" max="6145" width="32.6640625" style="393" hidden="1" customWidth="1"/>
    <col min="6146" max="6147" width="12.109375" style="393" hidden="1" customWidth="1"/>
    <col min="6148" max="6148" width="12.88671875" style="393" hidden="1" customWidth="1"/>
    <col min="6149" max="6154" width="12.109375" style="393" hidden="1" customWidth="1"/>
    <col min="6155" max="6400" width="8.88671875" style="393" hidden="1" customWidth="1"/>
    <col min="6401" max="6401" width="32.6640625" style="393" hidden="1" customWidth="1"/>
    <col min="6402" max="6403" width="12.109375" style="393" hidden="1" customWidth="1"/>
    <col min="6404" max="6404" width="12.88671875" style="393" hidden="1" customWidth="1"/>
    <col min="6405" max="6410" width="12.109375" style="393" hidden="1" customWidth="1"/>
    <col min="6411" max="6656" width="8.88671875" style="393" hidden="1" customWidth="1"/>
    <col min="6657" max="6657" width="32.6640625" style="393" hidden="1" customWidth="1"/>
    <col min="6658" max="6659" width="12.109375" style="393" hidden="1" customWidth="1"/>
    <col min="6660" max="6660" width="12.88671875" style="393" hidden="1" customWidth="1"/>
    <col min="6661" max="6666" width="12.109375" style="393" hidden="1" customWidth="1"/>
    <col min="6667" max="6912" width="8.88671875" style="393" hidden="1" customWidth="1"/>
    <col min="6913" max="6913" width="32.6640625" style="393" hidden="1" customWidth="1"/>
    <col min="6914" max="6915" width="12.109375" style="393" hidden="1" customWidth="1"/>
    <col min="6916" max="6916" width="12.88671875" style="393" hidden="1" customWidth="1"/>
    <col min="6917" max="6922" width="12.109375" style="393" hidden="1" customWidth="1"/>
    <col min="6923" max="7168" width="8.88671875" style="393" hidden="1" customWidth="1"/>
    <col min="7169" max="7169" width="32.6640625" style="393" hidden="1" customWidth="1"/>
    <col min="7170" max="7171" width="12.109375" style="393" hidden="1" customWidth="1"/>
    <col min="7172" max="7172" width="12.88671875" style="393" hidden="1" customWidth="1"/>
    <col min="7173" max="7178" width="12.109375" style="393" hidden="1" customWidth="1"/>
    <col min="7179" max="7424" width="8.88671875" style="393" hidden="1" customWidth="1"/>
    <col min="7425" max="7425" width="32.6640625" style="393" hidden="1" customWidth="1"/>
    <col min="7426" max="7427" width="12.109375" style="393" hidden="1" customWidth="1"/>
    <col min="7428" max="7428" width="12.88671875" style="393" hidden="1" customWidth="1"/>
    <col min="7429" max="7434" width="12.109375" style="393" hidden="1" customWidth="1"/>
    <col min="7435" max="7680" width="8.88671875" style="393" hidden="1" customWidth="1"/>
    <col min="7681" max="7681" width="32.6640625" style="393" hidden="1" customWidth="1"/>
    <col min="7682" max="7683" width="12.109375" style="393" hidden="1" customWidth="1"/>
    <col min="7684" max="7684" width="12.88671875" style="393" hidden="1" customWidth="1"/>
    <col min="7685" max="7690" width="12.109375" style="393" hidden="1" customWidth="1"/>
    <col min="7691" max="7936" width="8.88671875" style="393" hidden="1" customWidth="1"/>
    <col min="7937" max="7937" width="32.6640625" style="393" hidden="1" customWidth="1"/>
    <col min="7938" max="7939" width="12.109375" style="393" hidden="1" customWidth="1"/>
    <col min="7940" max="7940" width="12.88671875" style="393" hidden="1" customWidth="1"/>
    <col min="7941" max="7946" width="12.109375" style="393" hidden="1" customWidth="1"/>
    <col min="7947" max="8192" width="8.88671875" style="393" hidden="1" customWidth="1"/>
    <col min="8193" max="8193" width="32.6640625" style="393" hidden="1" customWidth="1"/>
    <col min="8194" max="8195" width="12.109375" style="393" hidden="1" customWidth="1"/>
    <col min="8196" max="8196" width="12.88671875" style="393" hidden="1" customWidth="1"/>
    <col min="8197" max="8202" width="12.109375" style="393" hidden="1" customWidth="1"/>
    <col min="8203" max="8448" width="8.88671875" style="393" hidden="1" customWidth="1"/>
    <col min="8449" max="8449" width="32.6640625" style="393" hidden="1" customWidth="1"/>
    <col min="8450" max="8451" width="12.109375" style="393" hidden="1" customWidth="1"/>
    <col min="8452" max="8452" width="12.88671875" style="393" hidden="1" customWidth="1"/>
    <col min="8453" max="8458" width="12.109375" style="393" hidden="1" customWidth="1"/>
    <col min="8459" max="8704" width="8.88671875" style="393" hidden="1" customWidth="1"/>
    <col min="8705" max="8705" width="32.6640625" style="393" hidden="1" customWidth="1"/>
    <col min="8706" max="8707" width="12.109375" style="393" hidden="1" customWidth="1"/>
    <col min="8708" max="8708" width="12.88671875" style="393" hidden="1" customWidth="1"/>
    <col min="8709" max="8714" width="12.109375" style="393" hidden="1" customWidth="1"/>
    <col min="8715" max="8960" width="8.88671875" style="393" hidden="1" customWidth="1"/>
    <col min="8961" max="8961" width="32.6640625" style="393" hidden="1" customWidth="1"/>
    <col min="8962" max="8963" width="12.109375" style="393" hidden="1" customWidth="1"/>
    <col min="8964" max="8964" width="12.88671875" style="393" hidden="1" customWidth="1"/>
    <col min="8965" max="8970" width="12.109375" style="393" hidden="1" customWidth="1"/>
    <col min="8971" max="9216" width="8.88671875" style="393" hidden="1" customWidth="1"/>
    <col min="9217" max="9217" width="32.6640625" style="393" hidden="1" customWidth="1"/>
    <col min="9218" max="9219" width="12.109375" style="393" hidden="1" customWidth="1"/>
    <col min="9220" max="9220" width="12.88671875" style="393" hidden="1" customWidth="1"/>
    <col min="9221" max="9226" width="12.109375" style="393" hidden="1" customWidth="1"/>
    <col min="9227" max="9472" width="8.88671875" style="393" hidden="1" customWidth="1"/>
    <col min="9473" max="9473" width="32.6640625" style="393" hidden="1" customWidth="1"/>
    <col min="9474" max="9475" width="12.109375" style="393" hidden="1" customWidth="1"/>
    <col min="9476" max="9476" width="12.88671875" style="393" hidden="1" customWidth="1"/>
    <col min="9477" max="9482" width="12.109375" style="393" hidden="1" customWidth="1"/>
    <col min="9483" max="9728" width="8.88671875" style="393" hidden="1" customWidth="1"/>
    <col min="9729" max="9729" width="32.6640625" style="393" hidden="1" customWidth="1"/>
    <col min="9730" max="9731" width="12.109375" style="393" hidden="1" customWidth="1"/>
    <col min="9732" max="9732" width="12.88671875" style="393" hidden="1" customWidth="1"/>
    <col min="9733" max="9738" width="12.109375" style="393" hidden="1" customWidth="1"/>
    <col min="9739" max="9984" width="8.88671875" style="393" hidden="1" customWidth="1"/>
    <col min="9985" max="9985" width="32.6640625" style="393" hidden="1" customWidth="1"/>
    <col min="9986" max="9987" width="12.109375" style="393" hidden="1" customWidth="1"/>
    <col min="9988" max="9988" width="12.88671875" style="393" hidden="1" customWidth="1"/>
    <col min="9989" max="9994" width="12.109375" style="393" hidden="1" customWidth="1"/>
    <col min="9995" max="10240" width="8.88671875" style="393" hidden="1" customWidth="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496" width="8.88671875" style="393" hidden="1" customWidth="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752" width="8.88671875" style="393" hidden="1" customWidth="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1008" width="8.88671875" style="393" hidden="1" customWidth="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264" width="8.88671875" style="393" hidden="1" customWidth="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520" width="8.88671875" style="393" hidden="1" customWidth="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776" width="8.88671875" style="393" hidden="1" customWidth="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2032" width="8.88671875" style="393" hidden="1" customWidth="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288" width="8.88671875" style="393" hidden="1" customWidth="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544" width="8.88671875" style="393" hidden="1" customWidth="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800" width="8.88671875" style="393" hidden="1" customWidth="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3056" width="8.88671875" style="393" hidden="1" customWidth="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312" width="8.88671875" style="393" hidden="1" customWidth="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568" width="8.88671875" style="393" hidden="1" customWidth="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824" width="8.88671875" style="393" hidden="1" customWidth="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4080" width="8.88671875" style="393" hidden="1" customWidth="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336" width="8.88671875" style="393" hidden="1" customWidth="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592" width="8.88671875" style="393" hidden="1" customWidth="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848" width="8.88671875" style="393" hidden="1" customWidth="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5104" width="8.88671875" style="393" hidden="1" customWidth="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360" width="8.88671875" style="393" hidden="1" customWidth="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616" width="8.88671875" style="393" hidden="1" customWidth="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872" width="8.88671875" style="393" hidden="1" customWidth="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6128" width="8.88671875" style="393" hidden="1" customWidth="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384" width="8.88671875" style="393" hidden="1" customWidth="1"/>
  </cols>
  <sheetData>
    <row r="1" spans="1:11" s="356" customFormat="1" ht="13.2" customHeight="1">
      <c r="A1" s="1680" t="s">
        <v>1942</v>
      </c>
      <c r="B1" s="1263"/>
      <c r="C1" s="1263"/>
      <c r="D1" s="1263"/>
      <c r="E1" s="1263"/>
      <c r="F1" s="1263"/>
      <c r="G1" s="1263"/>
      <c r="H1" s="1263"/>
      <c r="I1" s="1263"/>
      <c r="J1" s="1264"/>
      <c r="K1" s="355"/>
    </row>
    <row r="2" spans="1:11" s="401" customFormat="1" ht="72" customHeight="1">
      <c r="A2" s="398"/>
      <c r="B2" s="399" t="s">
        <v>1943</v>
      </c>
      <c r="C2" s="399" t="s">
        <v>1944</v>
      </c>
      <c r="D2" s="399" t="s">
        <v>1945</v>
      </c>
      <c r="E2" s="399" t="s">
        <v>1946</v>
      </c>
      <c r="F2" s="399" t="s">
        <v>1947</v>
      </c>
      <c r="G2" s="399" t="s">
        <v>1948</v>
      </c>
      <c r="H2" s="399" t="s">
        <v>1949</v>
      </c>
      <c r="I2" s="399" t="s">
        <v>1950</v>
      </c>
      <c r="J2" s="399" t="s">
        <v>1951</v>
      </c>
      <c r="K2" s="400"/>
    </row>
    <row r="3" spans="1:11" s="360" customFormat="1" ht="11.4" customHeight="1">
      <c r="A3" s="357" t="s">
        <v>1827</v>
      </c>
      <c r="B3" s="358"/>
      <c r="C3" s="358"/>
      <c r="D3" s="358"/>
      <c r="E3" s="358"/>
      <c r="F3" s="358"/>
      <c r="G3" s="358"/>
      <c r="H3" s="358"/>
      <c r="I3" s="358"/>
      <c r="J3" s="358"/>
      <c r="K3" s="359"/>
    </row>
    <row r="4" spans="1:11" s="360" customFormat="1" ht="11.4" customHeight="1">
      <c r="A4" s="364" t="s">
        <v>1828</v>
      </c>
      <c r="B4" s="361">
        <f>'Sources and Uses Budget'!C4</f>
        <v>1313644</v>
      </c>
      <c r="C4" s="362">
        <v>1313644</v>
      </c>
      <c r="D4" s="362"/>
      <c r="E4" s="363"/>
      <c r="F4" s="363"/>
      <c r="G4" s="363"/>
      <c r="H4" s="363"/>
      <c r="I4" s="363"/>
      <c r="J4" s="363"/>
      <c r="K4" s="359"/>
    </row>
    <row r="5" spans="1:11" s="360" customFormat="1" ht="11.4" customHeight="1">
      <c r="A5" s="364" t="s">
        <v>807</v>
      </c>
      <c r="B5" s="361">
        <f>'Sources and Uses Budget'!C5</f>
        <v>0</v>
      </c>
      <c r="C5" s="362"/>
      <c r="D5" s="362"/>
      <c r="E5" s="363"/>
      <c r="F5" s="363"/>
      <c r="G5" s="363"/>
      <c r="H5" s="363"/>
      <c r="I5" s="363"/>
      <c r="J5" s="363"/>
      <c r="K5" s="359"/>
    </row>
    <row r="6" spans="1:11" s="360" customFormat="1" ht="11.4" customHeight="1">
      <c r="A6" s="364" t="s">
        <v>1829</v>
      </c>
      <c r="B6" s="361">
        <f>'Sources and Uses Budget'!C6</f>
        <v>0</v>
      </c>
      <c r="C6" s="362"/>
      <c r="D6" s="362"/>
      <c r="E6" s="363"/>
      <c r="F6" s="363"/>
      <c r="G6" s="363"/>
      <c r="H6" s="363"/>
      <c r="I6" s="363"/>
      <c r="J6" s="363"/>
      <c r="K6" s="359"/>
    </row>
    <row r="7" spans="1:11" s="360" customFormat="1" ht="11.4" customHeight="1">
      <c r="A7" s="364" t="s">
        <v>1830</v>
      </c>
      <c r="B7" s="361">
        <f>'Sources and Uses Budget'!C7</f>
        <v>0</v>
      </c>
      <c r="C7" s="362"/>
      <c r="D7" s="362"/>
      <c r="E7" s="363"/>
      <c r="F7" s="363"/>
      <c r="G7" s="363"/>
      <c r="H7" s="363"/>
      <c r="I7" s="363"/>
      <c r="J7" s="363"/>
      <c r="K7" s="359"/>
    </row>
    <row r="8" spans="1:11" s="360" customFormat="1">
      <c r="A8" s="365" t="s">
        <v>1831</v>
      </c>
      <c r="B8" s="361">
        <f>'Sources and Uses Budget'!C8</f>
        <v>1313644</v>
      </c>
      <c r="C8" s="361">
        <f>SUM(C4:C7)</f>
        <v>1313644</v>
      </c>
      <c r="D8" s="361">
        <f>SUM(D4:D7)</f>
        <v>0</v>
      </c>
      <c r="E8" s="363"/>
      <c r="F8" s="363"/>
      <c r="G8" s="363"/>
      <c r="H8" s="363"/>
      <c r="I8" s="363"/>
      <c r="J8" s="363"/>
      <c r="K8" s="359"/>
    </row>
    <row r="9" spans="1:11" s="360" customFormat="1" ht="11.4" customHeight="1">
      <c r="A9" s="364" t="s">
        <v>1832</v>
      </c>
      <c r="B9" s="361">
        <f>'Sources and Uses Budget'!C9</f>
        <v>12121356</v>
      </c>
      <c r="C9" s="362">
        <v>12121356</v>
      </c>
      <c r="D9" s="362"/>
      <c r="E9" s="363"/>
      <c r="F9" s="363"/>
      <c r="G9" s="363"/>
      <c r="H9" s="361">
        <f>'Sources and Uses Budget'!T9</f>
        <v>12121356</v>
      </c>
      <c r="I9" s="362">
        <v>12121356</v>
      </c>
      <c r="J9" s="362"/>
      <c r="K9" s="359"/>
    </row>
    <row r="10" spans="1:11" s="360" customFormat="1" ht="11.4" customHeight="1">
      <c r="A10" s="364" t="s">
        <v>1833</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1834</v>
      </c>
      <c r="B11" s="361">
        <f>'Sources and Uses Budget'!C11</f>
        <v>12121356</v>
      </c>
      <c r="C11" s="361">
        <f>SUM(C9:C10)</f>
        <v>12121356</v>
      </c>
      <c r="D11" s="361">
        <f>SUM(D9:D10)</f>
        <v>0</v>
      </c>
      <c r="E11" s="363"/>
      <c r="F11" s="363"/>
      <c r="G11" s="363"/>
      <c r="H11" s="361">
        <f>'Sources and Uses Budget'!T11</f>
        <v>12121356</v>
      </c>
      <c r="I11" s="361">
        <f>SUM(I9:I10)</f>
        <v>12121356</v>
      </c>
      <c r="J11" s="361">
        <f>SUM(J9:J10)</f>
        <v>0</v>
      </c>
      <c r="K11" s="359"/>
    </row>
    <row r="12" spans="1:11" s="360" customFormat="1">
      <c r="A12" s="365" t="s">
        <v>1835</v>
      </c>
      <c r="B12" s="361">
        <f>'Sources and Uses Budget'!C12</f>
        <v>13435000</v>
      </c>
      <c r="C12" s="361">
        <f>SUM(C8+C11)</f>
        <v>13435000</v>
      </c>
      <c r="D12" s="361">
        <f>SUM(D8+D11)</f>
        <v>0</v>
      </c>
      <c r="E12" s="363"/>
      <c r="F12" s="363"/>
      <c r="G12" s="363"/>
      <c r="H12" s="363"/>
      <c r="I12" s="363"/>
      <c r="J12" s="363"/>
      <c r="K12" s="359"/>
    </row>
    <row r="13" spans="1:11" s="360" customFormat="1" ht="11.4" customHeight="1">
      <c r="A13" s="366" t="s">
        <v>1836</v>
      </c>
      <c r="B13" s="361">
        <f>'Sources and Uses Budget'!C13</f>
        <v>0</v>
      </c>
      <c r="C13" s="362">
        <v>0</v>
      </c>
      <c r="D13" s="362"/>
      <c r="E13" s="361">
        <f>'Sources and Uses Budget'!S13</f>
        <v>0</v>
      </c>
      <c r="F13" s="362">
        <v>0</v>
      </c>
      <c r="G13" s="362"/>
      <c r="H13" s="361">
        <f>'Sources and Uses Budget'!T13</f>
        <v>0</v>
      </c>
      <c r="I13" s="362"/>
      <c r="J13" s="362"/>
      <c r="K13" s="359"/>
    </row>
    <row r="14" spans="1:11" s="360" customFormat="1" ht="22.8" customHeight="1">
      <c r="A14" s="364" t="s">
        <v>1952</v>
      </c>
      <c r="B14" s="361">
        <f>'Sources and Uses Budget'!C14</f>
        <v>0</v>
      </c>
      <c r="C14" s="362"/>
      <c r="D14" s="362"/>
      <c r="E14" s="361">
        <f>'Sources and Uses Budget'!S14</f>
        <v>0</v>
      </c>
      <c r="F14" s="362"/>
      <c r="G14" s="362"/>
      <c r="H14" s="361">
        <f>'Sources and Uses Budget'!T14</f>
        <v>0</v>
      </c>
      <c r="I14" s="362"/>
      <c r="J14" s="362"/>
      <c r="K14" s="359"/>
    </row>
    <row r="15" spans="1:11" s="360" customFormat="1" ht="11.4" customHeight="1">
      <c r="A15" s="364" t="s">
        <v>1838</v>
      </c>
      <c r="B15" s="361">
        <f>'Sources and Uses Budget'!C15</f>
        <v>0</v>
      </c>
      <c r="C15" s="362"/>
      <c r="D15" s="362"/>
      <c r="E15" s="363">
        <f>'Sources and Uses Budget'!S15</f>
        <v>0</v>
      </c>
      <c r="F15" s="363"/>
      <c r="G15" s="363"/>
      <c r="H15" s="363">
        <f>'Sources and Uses Budget'!T15</f>
        <v>0</v>
      </c>
      <c r="I15" s="363"/>
      <c r="J15" s="363"/>
      <c r="K15" s="359"/>
    </row>
    <row r="16" spans="1:11" s="360" customFormat="1" ht="11.4" customHeight="1">
      <c r="A16" s="357" t="s">
        <v>1839</v>
      </c>
      <c r="B16" s="358"/>
      <c r="C16" s="358"/>
      <c r="D16" s="358"/>
      <c r="E16" s="358"/>
      <c r="F16" s="358"/>
      <c r="G16" s="358"/>
      <c r="H16" s="358"/>
      <c r="I16" s="358"/>
      <c r="J16" s="358"/>
      <c r="K16" s="359"/>
    </row>
    <row r="17" spans="1:11" s="360" customFormat="1" ht="11.4" customHeight="1">
      <c r="A17" s="364" t="s">
        <v>1840</v>
      </c>
      <c r="B17" s="361">
        <f>'Sources and Uses Budget'!C17</f>
        <v>0</v>
      </c>
      <c r="C17" s="362"/>
      <c r="D17" s="362"/>
      <c r="E17" s="361">
        <f>'Sources and Uses Budget'!S17</f>
        <v>0</v>
      </c>
      <c r="F17" s="362">
        <v>0</v>
      </c>
      <c r="G17" s="362"/>
      <c r="H17" s="361">
        <f>'Sources and Uses Budget'!T17</f>
        <v>0</v>
      </c>
      <c r="I17" s="362"/>
      <c r="J17" s="362"/>
      <c r="K17" s="359"/>
    </row>
    <row r="18" spans="1:11" s="360" customFormat="1" ht="11.4" customHeight="1">
      <c r="A18" s="364" t="s">
        <v>1841</v>
      </c>
      <c r="B18" s="361">
        <f>'Sources and Uses Budget'!C18</f>
        <v>7920000</v>
      </c>
      <c r="C18" s="362">
        <v>7920000</v>
      </c>
      <c r="D18" s="362"/>
      <c r="E18" s="361">
        <f>'Sources and Uses Budget'!S18</f>
        <v>7920000</v>
      </c>
      <c r="F18" s="362">
        <v>7920000</v>
      </c>
      <c r="G18" s="362"/>
      <c r="H18" s="361">
        <f>'Sources and Uses Budget'!T18</f>
        <v>0</v>
      </c>
      <c r="I18" s="362"/>
      <c r="J18" s="362"/>
      <c r="K18" s="359"/>
    </row>
    <row r="19" spans="1:11" s="360" customFormat="1" ht="11.4" customHeight="1">
      <c r="A19" s="364" t="s">
        <v>1842</v>
      </c>
      <c r="B19" s="361">
        <f>'Sources and Uses Budget'!C19</f>
        <v>640886</v>
      </c>
      <c r="C19" s="362">
        <v>640886</v>
      </c>
      <c r="D19" s="362"/>
      <c r="E19" s="361">
        <f>'Sources and Uses Budget'!S19</f>
        <v>640886</v>
      </c>
      <c r="F19" s="362">
        <v>640886</v>
      </c>
      <c r="G19" s="362"/>
      <c r="H19" s="361">
        <f>'Sources and Uses Budget'!T19</f>
        <v>0</v>
      </c>
      <c r="I19" s="362"/>
      <c r="J19" s="362"/>
      <c r="K19" s="359"/>
    </row>
    <row r="20" spans="1:11" s="360" customFormat="1" ht="11.4" customHeight="1">
      <c r="A20" s="364" t="s">
        <v>1843</v>
      </c>
      <c r="B20" s="361">
        <f>'Sources and Uses Budget'!C20</f>
        <v>120166</v>
      </c>
      <c r="C20" s="362">
        <v>120166</v>
      </c>
      <c r="D20" s="362"/>
      <c r="E20" s="361">
        <f>'Sources and Uses Budget'!S20</f>
        <v>120166</v>
      </c>
      <c r="F20" s="362">
        <v>120166</v>
      </c>
      <c r="G20" s="362"/>
      <c r="H20" s="361">
        <f>'Sources and Uses Budget'!T20</f>
        <v>0</v>
      </c>
      <c r="I20" s="362"/>
      <c r="J20" s="362"/>
      <c r="K20" s="359"/>
    </row>
    <row r="21" spans="1:11" s="360" customFormat="1" ht="11.4" customHeight="1">
      <c r="A21" s="364" t="s">
        <v>1844</v>
      </c>
      <c r="B21" s="361">
        <f>'Sources and Uses Budget'!C21</f>
        <v>360499</v>
      </c>
      <c r="C21" s="362">
        <v>360499</v>
      </c>
      <c r="D21" s="362"/>
      <c r="E21" s="361">
        <f>'Sources and Uses Budget'!S21</f>
        <v>360499</v>
      </c>
      <c r="F21" s="362">
        <v>360499</v>
      </c>
      <c r="G21" s="362"/>
      <c r="H21" s="361">
        <f>'Sources and Uses Budget'!T21</f>
        <v>0</v>
      </c>
      <c r="I21" s="362"/>
      <c r="J21" s="362"/>
      <c r="K21" s="359"/>
    </row>
    <row r="22" spans="1:11" s="360" customFormat="1" ht="11.4" customHeight="1">
      <c r="A22" s="364" t="s">
        <v>99</v>
      </c>
      <c r="B22" s="361">
        <f>'Sources and Uses Budget'!C22</f>
        <v>0</v>
      </c>
      <c r="C22" s="362">
        <v>0</v>
      </c>
      <c r="D22" s="362"/>
      <c r="E22" s="361">
        <f>'Sources and Uses Budget'!S22</f>
        <v>0</v>
      </c>
      <c r="F22" s="362">
        <v>0</v>
      </c>
      <c r="G22" s="362"/>
      <c r="H22" s="361">
        <f>'Sources and Uses Budget'!T22</f>
        <v>0</v>
      </c>
      <c r="I22" s="362"/>
      <c r="J22" s="362"/>
      <c r="K22" s="359"/>
    </row>
    <row r="23" spans="1:11" s="360" customFormat="1" ht="11.4" customHeight="1">
      <c r="A23" s="364" t="s">
        <v>1845</v>
      </c>
      <c r="B23" s="361">
        <f>'Sources and Uses Budget'!C23</f>
        <v>91080</v>
      </c>
      <c r="C23" s="362">
        <v>91080</v>
      </c>
      <c r="D23" s="362"/>
      <c r="E23" s="361">
        <f>'Sources and Uses Budget'!S23</f>
        <v>91080</v>
      </c>
      <c r="F23" s="362">
        <v>91080</v>
      </c>
      <c r="G23" s="362"/>
      <c r="H23" s="361">
        <f>'Sources and Uses Budget'!T23</f>
        <v>0</v>
      </c>
      <c r="I23" s="362"/>
      <c r="J23" s="362"/>
      <c r="K23" s="359"/>
    </row>
    <row r="24" spans="1:11" s="360" customFormat="1" ht="11.4" customHeight="1">
      <c r="A24" s="508" t="s">
        <v>1846</v>
      </c>
      <c r="B24" s="361">
        <f>'Sources and Uses Budget'!C24</f>
        <v>0</v>
      </c>
      <c r="C24" s="362">
        <v>0</v>
      </c>
      <c r="D24" s="362"/>
      <c r="E24" s="361">
        <f>'Sources and Uses Budget'!S24</f>
        <v>0</v>
      </c>
      <c r="F24" s="362"/>
      <c r="G24" s="362"/>
      <c r="H24" s="361">
        <f>'Sources and Uses Budget'!T24</f>
        <v>0</v>
      </c>
      <c r="I24" s="362"/>
      <c r="J24" s="362"/>
      <c r="K24" s="359"/>
    </row>
    <row r="25" spans="1:11" s="360" customFormat="1" ht="11.4" customHeight="1">
      <c r="A25" s="364" t="str">
        <f>'Sources and Uses Budget'!$A25</f>
        <v>Other: (Specify)</v>
      </c>
      <c r="B25" s="361">
        <f>'Sources and Uses Budget'!C25</f>
        <v>0</v>
      </c>
      <c r="C25" s="362">
        <v>0</v>
      </c>
      <c r="D25" s="362"/>
      <c r="E25" s="361">
        <f>'Sources and Uses Budget'!S25</f>
        <v>0</v>
      </c>
      <c r="F25" s="362"/>
      <c r="G25" s="362"/>
      <c r="H25" s="361">
        <f>'Sources and Uses Budget'!T25</f>
        <v>0</v>
      </c>
      <c r="I25" s="362"/>
      <c r="J25" s="362"/>
      <c r="K25" s="359"/>
    </row>
    <row r="26" spans="1:11" s="360" customFormat="1">
      <c r="A26" s="365" t="s">
        <v>1848</v>
      </c>
      <c r="B26" s="361">
        <f>'Sources and Uses Budget'!C26</f>
        <v>9132631</v>
      </c>
      <c r="C26" s="361">
        <f>SUM(C17:C25)</f>
        <v>9132631</v>
      </c>
      <c r="D26" s="361">
        <f>SUM(D17:D25)</f>
        <v>0</v>
      </c>
      <c r="E26" s="361">
        <f>'Sources and Uses Budget'!S26</f>
        <v>9132631</v>
      </c>
      <c r="F26" s="367">
        <f>SUM(F17:F25)</f>
        <v>9132631</v>
      </c>
      <c r="G26" s="367">
        <f>SUM(G17:G25)</f>
        <v>0</v>
      </c>
      <c r="H26" s="361">
        <f>'Sources and Uses Budget'!T26</f>
        <v>0</v>
      </c>
      <c r="I26" s="367">
        <f>SUM(I17:I25)</f>
        <v>0</v>
      </c>
      <c r="J26" s="367">
        <f>SUM(J17:J25)</f>
        <v>0</v>
      </c>
      <c r="K26" s="359"/>
    </row>
    <row r="27" spans="1:11" s="360" customFormat="1">
      <c r="A27" s="365" t="s">
        <v>1849</v>
      </c>
      <c r="B27" s="361">
        <f>'Sources and Uses Budget'!C27</f>
        <v>300000</v>
      </c>
      <c r="C27" s="362">
        <v>300000</v>
      </c>
      <c r="D27" s="362"/>
      <c r="E27" s="361">
        <f>'Sources and Uses Budget'!S27</f>
        <v>300000</v>
      </c>
      <c r="F27" s="362">
        <v>300000</v>
      </c>
      <c r="G27" s="362"/>
      <c r="H27" s="361">
        <f>'Sources and Uses Budget'!T27</f>
        <v>0</v>
      </c>
      <c r="I27" s="362"/>
      <c r="J27" s="362"/>
      <c r="K27" s="359"/>
    </row>
    <row r="28" spans="1:11" s="360" customFormat="1" ht="11.4" customHeight="1">
      <c r="A28" s="357" t="s">
        <v>1850</v>
      </c>
      <c r="B28" s="358"/>
      <c r="C28" s="358"/>
      <c r="D28" s="358"/>
      <c r="E28" s="358"/>
      <c r="F28" s="358"/>
      <c r="G28" s="358"/>
      <c r="H28" s="358"/>
      <c r="I28" s="358"/>
      <c r="J28" s="358"/>
      <c r="K28" s="359"/>
    </row>
    <row r="29" spans="1:11" s="360" customFormat="1" ht="11.4" customHeight="1">
      <c r="A29" s="145" t="s">
        <v>1840</v>
      </c>
      <c r="B29" s="361">
        <f>'Sources and Uses Budget'!C29</f>
        <v>0</v>
      </c>
      <c r="C29" s="362"/>
      <c r="D29" s="362"/>
      <c r="E29" s="361">
        <f>'Sources and Uses Budget'!S29</f>
        <v>0</v>
      </c>
      <c r="F29" s="362"/>
      <c r="G29" s="362"/>
      <c r="H29" s="361">
        <f>'Sources and Uses Budget'!T29</f>
        <v>0</v>
      </c>
      <c r="I29" s="362"/>
      <c r="J29" s="362"/>
      <c r="K29" s="359"/>
    </row>
    <row r="30" spans="1:11" s="360" customFormat="1" ht="11.4" customHeight="1">
      <c r="A30" s="145" t="s">
        <v>1841</v>
      </c>
      <c r="B30" s="361">
        <f>'Sources and Uses Budget'!C30</f>
        <v>0</v>
      </c>
      <c r="C30" s="362"/>
      <c r="D30" s="362"/>
      <c r="E30" s="361">
        <f>'Sources and Uses Budget'!S30</f>
        <v>0</v>
      </c>
      <c r="F30" s="362"/>
      <c r="G30" s="362"/>
      <c r="H30" s="361">
        <f>'Sources and Uses Budget'!T30</f>
        <v>0</v>
      </c>
      <c r="I30" s="362"/>
      <c r="J30" s="362"/>
      <c r="K30" s="359"/>
    </row>
    <row r="31" spans="1:11" s="360" customFormat="1" ht="11.4" customHeight="1">
      <c r="A31" s="145" t="s">
        <v>1842</v>
      </c>
      <c r="B31" s="361">
        <f>'Sources and Uses Budget'!C31</f>
        <v>0</v>
      </c>
      <c r="C31" s="362"/>
      <c r="D31" s="362"/>
      <c r="E31" s="361">
        <f>'Sources and Uses Budget'!S31</f>
        <v>0</v>
      </c>
      <c r="F31" s="362"/>
      <c r="G31" s="362"/>
      <c r="H31" s="361">
        <f>'Sources and Uses Budget'!T31</f>
        <v>0</v>
      </c>
      <c r="I31" s="362"/>
      <c r="J31" s="362"/>
      <c r="K31" s="359"/>
    </row>
    <row r="32" spans="1:11" s="360" customFormat="1" ht="11.4" customHeight="1">
      <c r="A32" s="145" t="s">
        <v>1843</v>
      </c>
      <c r="B32" s="361">
        <f>'Sources and Uses Budget'!C32</f>
        <v>0</v>
      </c>
      <c r="C32" s="362"/>
      <c r="D32" s="362"/>
      <c r="E32" s="361">
        <f>'Sources and Uses Budget'!S32</f>
        <v>0</v>
      </c>
      <c r="F32" s="362"/>
      <c r="G32" s="362"/>
      <c r="H32" s="361">
        <f>'Sources and Uses Budget'!T32</f>
        <v>0</v>
      </c>
      <c r="I32" s="362"/>
      <c r="J32" s="362"/>
      <c r="K32" s="359"/>
    </row>
    <row r="33" spans="1:11" s="360" customFormat="1" ht="11.4" customHeight="1">
      <c r="A33" s="145" t="s">
        <v>1844</v>
      </c>
      <c r="B33" s="361">
        <f>'Sources and Uses Budget'!C33</f>
        <v>0</v>
      </c>
      <c r="C33" s="362"/>
      <c r="D33" s="362"/>
      <c r="E33" s="361">
        <f>'Sources and Uses Budget'!S33</f>
        <v>0</v>
      </c>
      <c r="F33" s="362"/>
      <c r="G33" s="362"/>
      <c r="H33" s="361">
        <f>'Sources and Uses Budget'!T33</f>
        <v>0</v>
      </c>
      <c r="I33" s="362"/>
      <c r="J33" s="362"/>
      <c r="K33" s="359"/>
    </row>
    <row r="34" spans="1:11" s="360" customFormat="1" ht="11.4" customHeight="1">
      <c r="A34" s="145" t="s">
        <v>99</v>
      </c>
      <c r="B34" s="361">
        <f>'Sources and Uses Budget'!C34</f>
        <v>0</v>
      </c>
      <c r="C34" s="362"/>
      <c r="D34" s="362"/>
      <c r="E34" s="361">
        <f>'Sources and Uses Budget'!S34</f>
        <v>0</v>
      </c>
      <c r="F34" s="362"/>
      <c r="G34" s="362"/>
      <c r="H34" s="361">
        <f>'Sources and Uses Budget'!T34</f>
        <v>0</v>
      </c>
      <c r="I34" s="362"/>
      <c r="J34" s="362"/>
      <c r="K34" s="359"/>
    </row>
    <row r="35" spans="1:11" s="360" customFormat="1" ht="11.4" customHeight="1">
      <c r="A35" s="145" t="s">
        <v>1845</v>
      </c>
      <c r="B35" s="361">
        <f>'Sources and Uses Budget'!C35</f>
        <v>0</v>
      </c>
      <c r="C35" s="362"/>
      <c r="D35" s="362"/>
      <c r="E35" s="361">
        <f>'Sources and Uses Budget'!S35</f>
        <v>0</v>
      </c>
      <c r="F35" s="362"/>
      <c r="G35" s="362"/>
      <c r="H35" s="361">
        <f>'Sources and Uses Budget'!T35</f>
        <v>0</v>
      </c>
      <c r="I35" s="362"/>
      <c r="J35" s="362"/>
      <c r="K35" s="359"/>
    </row>
    <row r="36" spans="1:11" s="360" customFormat="1" ht="11.4" customHeight="1">
      <c r="A36" s="508" t="s">
        <v>1846</v>
      </c>
      <c r="B36" s="361">
        <f>'Sources and Uses Budget'!C36</f>
        <v>0</v>
      </c>
      <c r="C36" s="362"/>
      <c r="D36" s="362"/>
      <c r="E36" s="361">
        <f>'Sources and Uses Budget'!S36</f>
        <v>0</v>
      </c>
      <c r="F36" s="362"/>
      <c r="G36" s="362"/>
      <c r="H36" s="361">
        <f>'Sources and Uses Budget'!T36</f>
        <v>0</v>
      </c>
      <c r="I36" s="362"/>
      <c r="J36" s="362"/>
      <c r="K36" s="359"/>
    </row>
    <row r="37" spans="1:11" s="360" customFormat="1" ht="11.4" customHeigh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1851</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ht="11.4" customHeight="1">
      <c r="A39" s="357" t="s">
        <v>1852</v>
      </c>
      <c r="B39" s="358"/>
      <c r="C39" s="358"/>
      <c r="D39" s="358"/>
      <c r="E39" s="358"/>
      <c r="F39" s="358"/>
      <c r="G39" s="358"/>
      <c r="H39" s="358"/>
      <c r="I39" s="358"/>
      <c r="J39" s="358"/>
      <c r="K39" s="359"/>
    </row>
    <row r="40" spans="1:11" s="360" customFormat="1" ht="11.4" customHeight="1">
      <c r="A40" s="364" t="s">
        <v>1853</v>
      </c>
      <c r="B40" s="361">
        <f>'Sources and Uses Budget'!C40</f>
        <v>365305</v>
      </c>
      <c r="C40" s="362">
        <v>365305</v>
      </c>
      <c r="D40" s="362"/>
      <c r="E40" s="361">
        <f>'Sources and Uses Budget'!S40</f>
        <v>365305</v>
      </c>
      <c r="F40" s="362">
        <v>365305</v>
      </c>
      <c r="G40" s="362"/>
      <c r="H40" s="361">
        <f>'Sources and Uses Budget'!T40</f>
        <v>0</v>
      </c>
      <c r="I40" s="362"/>
      <c r="J40" s="362"/>
      <c r="K40" s="359"/>
    </row>
    <row r="41" spans="1:11" s="360" customFormat="1" ht="11.4" customHeight="1">
      <c r="A41" s="364" t="s">
        <v>1854</v>
      </c>
      <c r="B41" s="361">
        <f>'Sources and Uses Budget'!C41</f>
        <v>45663</v>
      </c>
      <c r="C41" s="362">
        <v>45663</v>
      </c>
      <c r="D41" s="362"/>
      <c r="E41" s="361">
        <f>'Sources and Uses Budget'!S41</f>
        <v>45663</v>
      </c>
      <c r="F41" s="362">
        <v>45663</v>
      </c>
      <c r="G41" s="362"/>
      <c r="H41" s="361">
        <f>'Sources and Uses Budget'!T41</f>
        <v>0</v>
      </c>
      <c r="I41" s="362"/>
      <c r="J41" s="362"/>
      <c r="K41" s="359"/>
    </row>
    <row r="42" spans="1:11" s="360" customFormat="1">
      <c r="A42" s="365" t="s">
        <v>1855</v>
      </c>
      <c r="B42" s="361">
        <f>'Sources and Uses Budget'!C42</f>
        <v>410968</v>
      </c>
      <c r="C42" s="361">
        <f>SUM(C39:C41)</f>
        <v>410968</v>
      </c>
      <c r="D42" s="361">
        <f>SUM(D39:D41)</f>
        <v>0</v>
      </c>
      <c r="E42" s="361">
        <f>'Sources and Uses Budget'!S42</f>
        <v>410968</v>
      </c>
      <c r="F42" s="367">
        <f>SUM(F40:F41)</f>
        <v>410968</v>
      </c>
      <c r="G42" s="367">
        <f>SUM(G40:G41)</f>
        <v>0</v>
      </c>
      <c r="H42" s="361">
        <f>'Sources and Uses Budget'!T42</f>
        <v>0</v>
      </c>
      <c r="I42" s="367">
        <f>SUM(I40:I41)</f>
        <v>0</v>
      </c>
      <c r="J42" s="367">
        <f>SUM(J40:J41)</f>
        <v>0</v>
      </c>
      <c r="K42" s="359"/>
    </row>
    <row r="43" spans="1:11" s="360" customFormat="1">
      <c r="A43" s="365" t="s">
        <v>1856</v>
      </c>
      <c r="B43" s="361">
        <f>'Sources and Uses Budget'!C43</f>
        <v>40000</v>
      </c>
      <c r="C43" s="362">
        <v>40000</v>
      </c>
      <c r="D43" s="362"/>
      <c r="E43" s="361">
        <f>'Sources and Uses Budget'!S43</f>
        <v>40000</v>
      </c>
      <c r="F43" s="362">
        <v>40000</v>
      </c>
      <c r="G43" s="362"/>
      <c r="H43" s="361">
        <f>'Sources and Uses Budget'!T43</f>
        <v>0</v>
      </c>
      <c r="I43" s="362"/>
      <c r="J43" s="362"/>
      <c r="K43" s="359"/>
    </row>
    <row r="44" spans="1:11" s="360" customFormat="1" ht="11.4" customHeight="1">
      <c r="A44" s="357" t="s">
        <v>1857</v>
      </c>
      <c r="B44" s="358"/>
      <c r="C44" s="358"/>
      <c r="D44" s="358"/>
      <c r="E44" s="358"/>
      <c r="F44" s="358"/>
      <c r="G44" s="358"/>
      <c r="H44" s="358"/>
      <c r="I44" s="358"/>
      <c r="J44" s="358"/>
      <c r="K44" s="359"/>
    </row>
    <row r="45" spans="1:11" s="360" customFormat="1" ht="11.4" customHeight="1">
      <c r="A45" s="364" t="s">
        <v>1858</v>
      </c>
      <c r="B45" s="361">
        <f>'Sources and Uses Budget'!C45</f>
        <v>488354</v>
      </c>
      <c r="C45" s="362">
        <v>488354</v>
      </c>
      <c r="D45" s="362"/>
      <c r="E45" s="361">
        <f>'Sources and Uses Budget'!S45</f>
        <v>175649</v>
      </c>
      <c r="F45" s="362">
        <v>175649</v>
      </c>
      <c r="G45" s="362"/>
      <c r="H45" s="361">
        <f>'Sources and Uses Budget'!T45</f>
        <v>0</v>
      </c>
      <c r="I45" s="362"/>
      <c r="J45" s="362"/>
      <c r="K45" s="359"/>
    </row>
    <row r="46" spans="1:11" s="360" customFormat="1" ht="11.4" customHeight="1">
      <c r="A46" s="364" t="s">
        <v>1859</v>
      </c>
      <c r="B46" s="361">
        <f>'Sources and Uses Budget'!C46</f>
        <v>122876</v>
      </c>
      <c r="C46" s="362">
        <v>122876</v>
      </c>
      <c r="D46" s="362"/>
      <c r="E46" s="361">
        <f>'Sources and Uses Budget'!S46</f>
        <v>68938</v>
      </c>
      <c r="F46" s="362">
        <v>68938</v>
      </c>
      <c r="G46" s="362"/>
      <c r="H46" s="361">
        <f>'Sources and Uses Budget'!T46</f>
        <v>0</v>
      </c>
      <c r="I46" s="362"/>
      <c r="J46" s="362"/>
      <c r="K46" s="359"/>
    </row>
    <row r="47" spans="1:11" s="360" customFormat="1" ht="12" customHeight="1">
      <c r="A47" s="364" t="s">
        <v>1860</v>
      </c>
      <c r="B47" s="361">
        <f>'Sources and Uses Budget'!C47</f>
        <v>0</v>
      </c>
      <c r="C47" s="362">
        <v>0</v>
      </c>
      <c r="D47" s="362"/>
      <c r="E47" s="361">
        <f>'Sources and Uses Budget'!S47</f>
        <v>0</v>
      </c>
      <c r="F47" s="362">
        <v>0</v>
      </c>
      <c r="G47" s="362"/>
      <c r="H47" s="361">
        <f>'Sources and Uses Budget'!T47</f>
        <v>0</v>
      </c>
      <c r="I47" s="362"/>
      <c r="J47" s="362"/>
      <c r="K47" s="359"/>
    </row>
    <row r="48" spans="1:11" s="360" customFormat="1" ht="11.4" customHeight="1">
      <c r="A48" s="364" t="s">
        <v>1861</v>
      </c>
      <c r="B48" s="361">
        <f>'Sources and Uses Budget'!C48</f>
        <v>123291</v>
      </c>
      <c r="C48" s="362">
        <v>123291</v>
      </c>
      <c r="D48" s="362"/>
      <c r="E48" s="361">
        <f>'Sources and Uses Budget'!S48</f>
        <v>123291</v>
      </c>
      <c r="F48" s="362">
        <v>123291</v>
      </c>
      <c r="G48" s="362"/>
      <c r="H48" s="361">
        <f>'Sources and Uses Budget'!T48</f>
        <v>0</v>
      </c>
      <c r="I48" s="362"/>
      <c r="J48" s="362"/>
      <c r="K48" s="359"/>
    </row>
    <row r="49" spans="1:11" s="360" customFormat="1" ht="11.4" customHeight="1">
      <c r="A49" s="283" t="s">
        <v>1862</v>
      </c>
      <c r="B49" s="361">
        <f>'Sources and Uses Budget'!C49</f>
        <v>0</v>
      </c>
      <c r="C49" s="362">
        <v>0</v>
      </c>
      <c r="D49" s="362"/>
      <c r="E49" s="361">
        <f>'Sources and Uses Budget'!S49</f>
        <v>0</v>
      </c>
      <c r="F49" s="362">
        <v>0</v>
      </c>
      <c r="G49" s="362"/>
      <c r="H49" s="361">
        <f>'Sources and Uses Budget'!T49</f>
        <v>0</v>
      </c>
      <c r="I49" s="362"/>
      <c r="J49" s="362"/>
      <c r="K49" s="359"/>
    </row>
    <row r="50" spans="1:11" s="360" customFormat="1" ht="11.4" customHeight="1">
      <c r="A50" s="364" t="s">
        <v>1863</v>
      </c>
      <c r="B50" s="361">
        <f>'Sources and Uses Budget'!C50</f>
        <v>150000</v>
      </c>
      <c r="C50" s="362">
        <v>150000</v>
      </c>
      <c r="D50" s="362"/>
      <c r="E50" s="361">
        <f>'Sources and Uses Budget'!S50</f>
        <v>150000</v>
      </c>
      <c r="F50" s="362">
        <v>150000</v>
      </c>
      <c r="G50" s="362"/>
      <c r="H50" s="361">
        <f>'Sources and Uses Budget'!T50</f>
        <v>0</v>
      </c>
      <c r="I50" s="362"/>
      <c r="J50" s="362"/>
      <c r="K50" s="359"/>
    </row>
    <row r="51" spans="1:11" s="360" customFormat="1" ht="11.4" customHeight="1">
      <c r="A51" s="364" t="s">
        <v>1864</v>
      </c>
      <c r="B51" s="361">
        <f>'Sources and Uses Budget'!C51</f>
        <v>17500</v>
      </c>
      <c r="C51" s="362">
        <v>17500</v>
      </c>
      <c r="D51" s="362"/>
      <c r="E51" s="361">
        <f>'Sources and Uses Budget'!S51</f>
        <v>8750</v>
      </c>
      <c r="F51" s="362">
        <v>8750</v>
      </c>
      <c r="G51" s="362"/>
      <c r="H51" s="361">
        <f>'Sources and Uses Budget'!T51</f>
        <v>0</v>
      </c>
      <c r="I51" s="362"/>
      <c r="J51" s="362"/>
      <c r="K51" s="359"/>
    </row>
    <row r="52" spans="1:11" s="360" customFormat="1" ht="11.4" customHeight="1">
      <c r="A52" s="364" t="s">
        <v>1633</v>
      </c>
      <c r="B52" s="361">
        <f>'Sources and Uses Budget'!C52</f>
        <v>200000</v>
      </c>
      <c r="C52" s="362">
        <v>200000</v>
      </c>
      <c r="D52" s="362"/>
      <c r="E52" s="361">
        <f>'Sources and Uses Budget'!S52</f>
        <v>133468</v>
      </c>
      <c r="F52" s="362">
        <v>133468</v>
      </c>
      <c r="G52" s="362"/>
      <c r="H52" s="361">
        <f>'Sources and Uses Budget'!T52</f>
        <v>0</v>
      </c>
      <c r="I52" s="362"/>
      <c r="J52" s="362"/>
      <c r="K52" s="359"/>
    </row>
    <row r="53" spans="1:11" s="360" customFormat="1" ht="11.4" customHeight="1">
      <c r="A53" s="364" t="str">
        <f>'Sources and Uses Budget'!$A53</f>
        <v>Other: Third-Party Reports</v>
      </c>
      <c r="B53" s="361">
        <f>'Sources and Uses Budget'!C53</f>
        <v>200000</v>
      </c>
      <c r="C53" s="362">
        <v>200000</v>
      </c>
      <c r="D53" s="362"/>
      <c r="E53" s="361">
        <f>'Sources and Uses Budget'!S53</f>
        <v>200000</v>
      </c>
      <c r="F53" s="362">
        <v>200000</v>
      </c>
      <c r="G53" s="362"/>
      <c r="H53" s="361">
        <f>'Sources and Uses Budget'!T53</f>
        <v>0</v>
      </c>
      <c r="I53" s="362"/>
      <c r="J53" s="362"/>
      <c r="K53" s="359"/>
    </row>
    <row r="54" spans="1:11" s="369" customFormat="1">
      <c r="A54" s="365" t="s">
        <v>1866</v>
      </c>
      <c r="B54" s="361">
        <f>'Sources and Uses Budget'!C54</f>
        <v>1302021</v>
      </c>
      <c r="C54" s="367">
        <f>SUM(C45:C53)</f>
        <v>1302021</v>
      </c>
      <c r="D54" s="367">
        <f>SUM(D45:D53)</f>
        <v>0</v>
      </c>
      <c r="E54" s="361">
        <f>'Sources and Uses Budget'!S54</f>
        <v>860096</v>
      </c>
      <c r="F54" s="367">
        <f>SUM(F45:F53)</f>
        <v>860096</v>
      </c>
      <c r="G54" s="367">
        <f>SUM(G45:G53)</f>
        <v>0</v>
      </c>
      <c r="H54" s="361">
        <f>'Sources and Uses Budget'!T54</f>
        <v>0</v>
      </c>
      <c r="I54" s="367">
        <f>SUM(I45:I53)</f>
        <v>0</v>
      </c>
      <c r="J54" s="367">
        <f>SUM(J45:J53)</f>
        <v>0</v>
      </c>
      <c r="K54" s="368"/>
    </row>
    <row r="55" spans="1:11" s="360" customFormat="1" ht="11.4" customHeight="1">
      <c r="A55" s="357" t="s">
        <v>1442</v>
      </c>
      <c r="B55" s="358"/>
      <c r="C55" s="358"/>
      <c r="D55" s="358"/>
      <c r="E55" s="358"/>
      <c r="F55" s="358"/>
      <c r="G55" s="358"/>
      <c r="H55" s="358"/>
      <c r="I55" s="358"/>
      <c r="J55" s="358"/>
      <c r="K55" s="359"/>
    </row>
    <row r="56" spans="1:11" s="360" customFormat="1" ht="11.4" customHeight="1">
      <c r="A56" s="364" t="s">
        <v>1867</v>
      </c>
      <c r="B56" s="361">
        <f>'Sources and Uses Budget'!C56</f>
        <v>133000</v>
      </c>
      <c r="C56" s="362">
        <v>133000</v>
      </c>
      <c r="D56" s="362"/>
      <c r="E56" s="363"/>
      <c r="F56" s="363"/>
      <c r="G56" s="363"/>
      <c r="H56" s="363"/>
      <c r="I56" s="363"/>
      <c r="J56" s="363"/>
      <c r="K56" s="359"/>
    </row>
    <row r="57" spans="1:11" s="360" customFormat="1" ht="12" customHeight="1">
      <c r="A57" s="364" t="s">
        <v>1860</v>
      </c>
      <c r="B57" s="361">
        <f>'Sources and Uses Budget'!C57</f>
        <v>250000</v>
      </c>
      <c r="C57" s="362">
        <v>250000</v>
      </c>
      <c r="D57" s="362"/>
      <c r="E57" s="363"/>
      <c r="F57" s="363"/>
      <c r="G57" s="363"/>
      <c r="H57" s="363"/>
      <c r="I57" s="363"/>
      <c r="J57" s="363"/>
      <c r="K57" s="359"/>
    </row>
    <row r="58" spans="1:11" s="360" customFormat="1" ht="11.4" customHeight="1">
      <c r="A58" s="364" t="s">
        <v>1863</v>
      </c>
      <c r="B58" s="361">
        <f>'Sources and Uses Budget'!C58</f>
        <v>90000</v>
      </c>
      <c r="C58" s="362">
        <v>90000</v>
      </c>
      <c r="D58" s="362"/>
      <c r="E58" s="363"/>
      <c r="F58" s="363"/>
      <c r="G58" s="363"/>
      <c r="H58" s="363"/>
      <c r="I58" s="363"/>
      <c r="J58" s="363"/>
      <c r="K58" s="359"/>
    </row>
    <row r="59" spans="1:11" s="360" customFormat="1" ht="11.4" customHeight="1">
      <c r="A59" s="364" t="s">
        <v>1864</v>
      </c>
      <c r="B59" s="361">
        <f>'Sources and Uses Budget'!C59</f>
        <v>0</v>
      </c>
      <c r="C59" s="362"/>
      <c r="D59" s="362"/>
      <c r="E59" s="363"/>
      <c r="F59" s="363"/>
      <c r="G59" s="363"/>
      <c r="H59" s="363"/>
      <c r="I59" s="363"/>
      <c r="J59" s="363"/>
      <c r="K59" s="359"/>
    </row>
    <row r="60" spans="1:11" s="360" customFormat="1" ht="11.4" customHeight="1">
      <c r="A60" s="364" t="s">
        <v>1633</v>
      </c>
      <c r="B60" s="361">
        <f>'Sources and Uses Budget'!C60</f>
        <v>0</v>
      </c>
      <c r="C60" s="362"/>
      <c r="D60" s="362"/>
      <c r="E60" s="363"/>
      <c r="F60" s="363"/>
      <c r="G60" s="363"/>
      <c r="H60" s="363"/>
      <c r="I60" s="363"/>
      <c r="J60" s="363"/>
      <c r="K60" s="359"/>
    </row>
    <row r="61" spans="1:11" s="360" customFormat="1" ht="11.4" customHeight="1">
      <c r="A61" s="364" t="str">
        <f>'Sources and Uses Budget'!$A61</f>
        <v>Other: Legal</v>
      </c>
      <c r="B61" s="361">
        <f>'Sources and Uses Budget'!C61</f>
        <v>0</v>
      </c>
      <c r="C61" s="362">
        <v>0</v>
      </c>
      <c r="D61" s="362"/>
      <c r="E61" s="363"/>
      <c r="F61" s="363"/>
      <c r="G61" s="363"/>
      <c r="H61" s="363"/>
      <c r="I61" s="363"/>
      <c r="J61" s="363"/>
      <c r="K61" s="359"/>
    </row>
    <row r="62" spans="1:11" s="360" customFormat="1" ht="13.65" customHeight="1">
      <c r="A62" s="365" t="s">
        <v>1869</v>
      </c>
      <c r="B62" s="361">
        <f>'Sources and Uses Budget'!C62</f>
        <v>473000</v>
      </c>
      <c r="C62" s="361">
        <f>SUM(C56:C61)</f>
        <v>473000</v>
      </c>
      <c r="D62" s="361">
        <f>SUM(D56:D61)</f>
        <v>0</v>
      </c>
      <c r="E62" s="363"/>
      <c r="F62" s="363"/>
      <c r="G62" s="363"/>
      <c r="H62" s="363"/>
      <c r="I62" s="363"/>
      <c r="J62" s="363"/>
      <c r="K62" s="359"/>
    </row>
    <row r="63" spans="1:11" s="360" customFormat="1" ht="11.4" customHeight="1">
      <c r="A63" s="370" t="s">
        <v>1870</v>
      </c>
      <c r="B63" s="361">
        <f>'Sources and Uses Budget'!C63</f>
        <v>25093620</v>
      </c>
      <c r="C63" s="361">
        <f>SUM(C8+C11+C13+C14+C15+C26+C27+C38+C42+C43+C54+C62)</f>
        <v>25093620</v>
      </c>
      <c r="D63" s="361">
        <f>SUM(D8+D11+D13+D14+D15+D26+D27+D38+D42+D43+D54+D62)</f>
        <v>0</v>
      </c>
      <c r="E63" s="361">
        <f>'Sources and Uses Budget'!S63</f>
        <v>10743695</v>
      </c>
      <c r="F63" s="361">
        <f>SUM(F10+F13+F14+F15+F26+F27+F38+F42+F43+F54)</f>
        <v>10743695</v>
      </c>
      <c r="G63" s="361">
        <f>SUM(G10+G13+G14+G15+G26+G27+G38+G42+G43+G54)</f>
        <v>0</v>
      </c>
      <c r="H63" s="361">
        <f>'Sources and Uses Budget'!T63</f>
        <v>12121356</v>
      </c>
      <c r="I63" s="361">
        <f>SUM(I11+I13+I14+I15+I26+I27+I38+I42+I43+I54)</f>
        <v>12121356</v>
      </c>
      <c r="J63" s="361">
        <f>SUM(J11+J13+J14+J15+J26+J27+J38+J42+J43+J54)</f>
        <v>0</v>
      </c>
      <c r="K63" s="359"/>
    </row>
    <row r="64" spans="1:11" s="360" customFormat="1" ht="22.8" customHeight="1">
      <c r="A64" s="141" t="s">
        <v>1871</v>
      </c>
      <c r="B64" s="358"/>
      <c r="C64" s="358"/>
      <c r="D64" s="358"/>
      <c r="E64" s="358"/>
      <c r="F64" s="358"/>
      <c r="G64" s="358"/>
      <c r="H64" s="358"/>
      <c r="I64" s="358"/>
      <c r="J64" s="358"/>
      <c r="K64" s="359"/>
    </row>
    <row r="65" spans="1:11" s="360" customFormat="1" ht="11.4" customHeight="1">
      <c r="A65" s="145" t="s">
        <v>1872</v>
      </c>
      <c r="B65" s="361">
        <f>'Sources and Uses Budget'!C65</f>
        <v>230000</v>
      </c>
      <c r="C65" s="362">
        <v>230000</v>
      </c>
      <c r="D65" s="362"/>
      <c r="E65" s="361">
        <f>'Sources and Uses Budget'!S65</f>
        <v>77500</v>
      </c>
      <c r="F65" s="362">
        <v>77500</v>
      </c>
      <c r="G65" s="362"/>
      <c r="H65" s="361">
        <f>'Sources and Uses Budget'!T65</f>
        <v>0</v>
      </c>
      <c r="I65" s="362"/>
      <c r="J65" s="362"/>
      <c r="K65" s="359"/>
    </row>
    <row r="66" spans="1:11" s="360" customFormat="1" ht="22.8" customHeight="1">
      <c r="A66" s="283" t="s">
        <v>1873</v>
      </c>
      <c r="B66" s="361">
        <f>'Sources and Uses Budget'!C66</f>
        <v>0</v>
      </c>
      <c r="C66" s="362"/>
      <c r="D66" s="362"/>
      <c r="E66" s="361">
        <f>'Sources and Uses Budget'!S66</f>
        <v>0</v>
      </c>
      <c r="F66" s="362"/>
      <c r="G66" s="362"/>
      <c r="H66" s="361">
        <f>'Sources and Uses Budget'!T66</f>
        <v>0</v>
      </c>
      <c r="I66" s="362"/>
      <c r="J66" s="362"/>
      <c r="K66" s="359"/>
    </row>
    <row r="67" spans="1:11" s="360" customFormat="1" ht="22.8" customHeight="1">
      <c r="A67" s="283" t="s">
        <v>1874</v>
      </c>
      <c r="B67" s="361">
        <f>'Sources and Uses Budget'!C67</f>
        <v>0</v>
      </c>
      <c r="C67" s="362"/>
      <c r="D67" s="362"/>
      <c r="E67" s="361">
        <f>'Sources and Uses Budget'!S67</f>
        <v>0</v>
      </c>
      <c r="F67" s="362"/>
      <c r="G67" s="362"/>
      <c r="H67" s="361">
        <f>'Sources and Uses Budget'!T67</f>
        <v>0</v>
      </c>
      <c r="I67" s="362"/>
      <c r="J67" s="362"/>
      <c r="K67" s="359"/>
    </row>
    <row r="68" spans="1:11" s="360" customFormat="1" ht="11.4" customHeight="1">
      <c r="A68" s="283" t="s">
        <v>1875</v>
      </c>
      <c r="B68" s="361">
        <f>'Sources and Uses Budget'!C68</f>
        <v>0</v>
      </c>
      <c r="C68" s="362"/>
      <c r="D68" s="362"/>
      <c r="E68" s="361">
        <f>'Sources and Uses Budget'!S68</f>
        <v>0</v>
      </c>
      <c r="F68" s="362"/>
      <c r="G68" s="362"/>
      <c r="H68" s="361">
        <f>'Sources and Uses Budget'!T68</f>
        <v>0</v>
      </c>
      <c r="I68" s="362"/>
      <c r="J68" s="362"/>
      <c r="K68" s="359"/>
    </row>
    <row r="69" spans="1:11" s="360" customFormat="1" ht="11.4" customHeigh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1953</v>
      </c>
      <c r="B70" s="361">
        <f>'Sources and Uses Budget'!C70</f>
        <v>230000</v>
      </c>
      <c r="C70" s="361">
        <f>SUM(C64:C69)</f>
        <v>230000</v>
      </c>
      <c r="D70" s="361">
        <f>SUM(D64:D69)</f>
        <v>0</v>
      </c>
      <c r="E70" s="361">
        <f>'Sources and Uses Budget'!S70</f>
        <v>77500</v>
      </c>
      <c r="F70" s="367">
        <f>SUM(F65:F69)</f>
        <v>77500</v>
      </c>
      <c r="G70" s="367">
        <f>SUM(G65:G69)</f>
        <v>0</v>
      </c>
      <c r="H70" s="361">
        <f>'Sources and Uses Budget'!T70</f>
        <v>0</v>
      </c>
      <c r="I70" s="367">
        <f>SUM(I65:I69)</f>
        <v>0</v>
      </c>
      <c r="J70" s="367">
        <f>SUM(J65:J69)</f>
        <v>0</v>
      </c>
      <c r="K70" s="359"/>
    </row>
    <row r="71" spans="1:11" s="360" customFormat="1" ht="11.4" customHeight="1">
      <c r="A71" s="357" t="s">
        <v>1877</v>
      </c>
      <c r="B71" s="358"/>
      <c r="C71" s="358"/>
      <c r="D71" s="358"/>
      <c r="E71" s="358"/>
      <c r="F71" s="358"/>
      <c r="G71" s="358"/>
      <c r="H71" s="358"/>
      <c r="I71" s="358"/>
      <c r="J71" s="358"/>
      <c r="K71" s="359"/>
    </row>
    <row r="72" spans="1:11" s="360" customFormat="1" ht="11.4" customHeight="1">
      <c r="A72" s="364" t="s">
        <v>1878</v>
      </c>
      <c r="B72" s="361">
        <f>'Sources and Uses Budget'!C72</f>
        <v>0</v>
      </c>
      <c r="C72" s="362"/>
      <c r="D72" s="362"/>
      <c r="E72" s="363"/>
      <c r="F72" s="363"/>
      <c r="G72" s="363"/>
      <c r="H72" s="363"/>
      <c r="I72" s="363"/>
      <c r="J72" s="363"/>
      <c r="K72" s="359"/>
    </row>
    <row r="73" spans="1:11" s="360" customFormat="1" ht="11.4" customHeight="1">
      <c r="A73" s="364" t="s">
        <v>1879</v>
      </c>
      <c r="B73" s="361">
        <f>'Sources and Uses Budget'!C73</f>
        <v>0</v>
      </c>
      <c r="C73" s="362">
        <v>0</v>
      </c>
      <c r="D73" s="362"/>
      <c r="E73" s="363"/>
      <c r="F73" s="363"/>
      <c r="G73" s="363"/>
      <c r="H73" s="363"/>
      <c r="I73" s="363"/>
      <c r="J73" s="363"/>
      <c r="K73" s="359"/>
    </row>
    <row r="74" spans="1:11" s="360" customFormat="1" ht="11.4" customHeight="1">
      <c r="A74" s="366" t="s">
        <v>1880</v>
      </c>
      <c r="B74" s="361">
        <f>'Sources and Uses Budget'!C74</f>
        <v>0</v>
      </c>
      <c r="C74" s="362">
        <v>0</v>
      </c>
      <c r="D74" s="362"/>
      <c r="E74" s="363"/>
      <c r="F74" s="363"/>
      <c r="G74" s="363"/>
      <c r="H74" s="363"/>
      <c r="I74" s="363"/>
      <c r="J74" s="363"/>
      <c r="K74" s="359"/>
    </row>
    <row r="75" spans="1:11" s="360" customFormat="1" ht="11.4" customHeight="1">
      <c r="A75" s="364" t="s">
        <v>1881</v>
      </c>
      <c r="B75" s="361">
        <f>'Sources and Uses Budget'!C75</f>
        <v>600000</v>
      </c>
      <c r="C75" s="362">
        <v>600000</v>
      </c>
      <c r="D75" s="362"/>
      <c r="E75" s="363"/>
      <c r="F75" s="363"/>
      <c r="G75" s="363"/>
      <c r="H75" s="363"/>
      <c r="I75" s="363"/>
      <c r="J75" s="363"/>
      <c r="K75" s="359"/>
    </row>
    <row r="76" spans="1:11" s="360" customFormat="1" ht="11.4" customHeight="1">
      <c r="A76" s="364" t="str">
        <f>'Sources and Uses Budget'!$A76</f>
        <v>Other: LP Operating Reserve</v>
      </c>
      <c r="B76" s="361">
        <f>'Sources and Uses Budget'!C76</f>
        <v>578000</v>
      </c>
      <c r="C76" s="362">
        <v>578000</v>
      </c>
      <c r="D76" s="362"/>
      <c r="E76" s="363"/>
      <c r="F76" s="363"/>
      <c r="G76" s="363"/>
      <c r="H76" s="363"/>
      <c r="I76" s="363"/>
      <c r="J76" s="363"/>
      <c r="K76" s="359"/>
    </row>
    <row r="77" spans="1:11" s="360" customFormat="1">
      <c r="A77" s="365" t="s">
        <v>1883</v>
      </c>
      <c r="B77" s="361">
        <f>'Sources and Uses Budget'!C77</f>
        <v>1178000</v>
      </c>
      <c r="C77" s="361">
        <f>SUM(C72:C76)</f>
        <v>1178000</v>
      </c>
      <c r="D77" s="361">
        <f>SUM(D72:D76)</f>
        <v>0</v>
      </c>
      <c r="E77" s="363"/>
      <c r="F77" s="363"/>
      <c r="G77" s="363"/>
      <c r="H77" s="363"/>
      <c r="I77" s="363"/>
      <c r="J77" s="363"/>
      <c r="K77" s="359"/>
    </row>
    <row r="78" spans="1:11" s="360" customFormat="1" ht="11.4" customHeight="1">
      <c r="A78" s="357" t="s">
        <v>1884</v>
      </c>
      <c r="B78" s="358"/>
      <c r="C78" s="358"/>
      <c r="D78" s="358"/>
      <c r="E78" s="358"/>
      <c r="F78" s="358"/>
      <c r="G78" s="358"/>
      <c r="H78" s="358"/>
      <c r="I78" s="358"/>
      <c r="J78" s="358"/>
      <c r="K78" s="359"/>
    </row>
    <row r="79" spans="1:11" s="360" customFormat="1" ht="11.4" customHeight="1">
      <c r="A79" s="364" t="s">
        <v>1885</v>
      </c>
      <c r="B79" s="361">
        <f>'Sources and Uses Budget'!C79</f>
        <v>913263</v>
      </c>
      <c r="C79" s="362">
        <v>913263</v>
      </c>
      <c r="D79" s="362"/>
      <c r="E79" s="361">
        <f>'Sources and Uses Budget'!S79</f>
        <v>913263</v>
      </c>
      <c r="F79" s="362">
        <v>913263</v>
      </c>
      <c r="G79" s="362"/>
      <c r="H79" s="361">
        <f>'Sources and Uses Budget'!T79</f>
        <v>0</v>
      </c>
      <c r="I79" s="362"/>
      <c r="J79" s="362"/>
      <c r="K79" s="359"/>
    </row>
    <row r="80" spans="1:11" s="360" customFormat="1" ht="11.4" customHeight="1">
      <c r="A80" s="364" t="s">
        <v>1886</v>
      </c>
      <c r="B80" s="361">
        <f>'Sources and Uses Budget'!C80</f>
        <v>52897</v>
      </c>
      <c r="C80" s="362">
        <v>52897</v>
      </c>
      <c r="D80" s="362"/>
      <c r="E80" s="361">
        <f>'Sources and Uses Budget'!S80</f>
        <v>52897</v>
      </c>
      <c r="F80" s="362">
        <v>52897</v>
      </c>
      <c r="G80" s="362"/>
      <c r="H80" s="361">
        <f>'Sources and Uses Budget'!T80</f>
        <v>0</v>
      </c>
      <c r="I80" s="362"/>
      <c r="J80" s="362"/>
      <c r="K80" s="359"/>
    </row>
    <row r="81" spans="1:11" s="360" customFormat="1">
      <c r="A81" s="365" t="s">
        <v>1887</v>
      </c>
      <c r="B81" s="361">
        <f>'Sources and Uses Budget'!C81</f>
        <v>966160</v>
      </c>
      <c r="C81" s="361">
        <f>SUM(C79:C80)</f>
        <v>966160</v>
      </c>
      <c r="D81" s="361">
        <f>SUM(D79:D80)</f>
        <v>0</v>
      </c>
      <c r="E81" s="361">
        <f>'Sources and Uses Budget'!S81</f>
        <v>966160</v>
      </c>
      <c r="F81" s="361">
        <f>SUM(F79:F80)</f>
        <v>966160</v>
      </c>
      <c r="G81" s="361">
        <f>SUM(G79:G80)</f>
        <v>0</v>
      </c>
      <c r="H81" s="361">
        <f>'Sources and Uses Budget'!T81</f>
        <v>0</v>
      </c>
      <c r="I81" s="361">
        <f>SUM(I79:I80)</f>
        <v>0</v>
      </c>
      <c r="J81" s="361">
        <f>SUM(J79:J80)</f>
        <v>0</v>
      </c>
      <c r="K81" s="359"/>
    </row>
    <row r="82" spans="1:11" s="360" customFormat="1" ht="11.4" customHeight="1">
      <c r="A82" s="357" t="s">
        <v>1888</v>
      </c>
      <c r="B82" s="358"/>
      <c r="C82" s="358"/>
      <c r="D82" s="358"/>
      <c r="E82" s="358"/>
      <c r="F82" s="358"/>
      <c r="G82" s="358"/>
      <c r="H82" s="358"/>
      <c r="I82" s="358"/>
      <c r="J82" s="358"/>
      <c r="K82" s="359"/>
    </row>
    <row r="83" spans="1:11" s="360" customFormat="1" ht="13.65" customHeight="1">
      <c r="A83" s="145" t="s">
        <v>1889</v>
      </c>
      <c r="B83" s="361">
        <f>'Sources and Uses Budget'!C83</f>
        <v>63863</v>
      </c>
      <c r="C83" s="362">
        <v>63863</v>
      </c>
      <c r="D83" s="362"/>
      <c r="E83" s="363"/>
      <c r="F83" s="363"/>
      <c r="G83" s="363"/>
      <c r="H83" s="363"/>
      <c r="I83" s="363"/>
      <c r="J83" s="363"/>
      <c r="K83" s="359"/>
    </row>
    <row r="84" spans="1:11" s="360" customFormat="1" ht="11.4" customHeight="1">
      <c r="A84" s="145" t="s">
        <v>1890</v>
      </c>
      <c r="B84" s="361">
        <f>'Sources and Uses Budget'!C84</f>
        <v>0</v>
      </c>
      <c r="C84" s="362">
        <v>0</v>
      </c>
      <c r="D84" s="362"/>
      <c r="E84" s="361">
        <f>'Sources and Uses Budget'!S84</f>
        <v>0</v>
      </c>
      <c r="F84" s="362"/>
      <c r="G84" s="362"/>
      <c r="H84" s="361">
        <f>'Sources and Uses Budget'!T84</f>
        <v>0</v>
      </c>
      <c r="I84" s="362"/>
      <c r="J84" s="362"/>
      <c r="K84" s="359"/>
    </row>
    <row r="85" spans="1:11" s="360" customFormat="1" ht="11.4" customHeight="1">
      <c r="A85" s="145" t="s">
        <v>1891</v>
      </c>
      <c r="B85" s="361">
        <f>'Sources and Uses Budget'!C85</f>
        <v>0</v>
      </c>
      <c r="C85" s="362">
        <v>0</v>
      </c>
      <c r="D85" s="362"/>
      <c r="E85" s="361">
        <f>'Sources and Uses Budget'!S85</f>
        <v>0</v>
      </c>
      <c r="F85" s="362"/>
      <c r="G85" s="362"/>
      <c r="H85" s="361">
        <f>'Sources and Uses Budget'!T85</f>
        <v>0</v>
      </c>
      <c r="I85" s="362"/>
      <c r="J85" s="362"/>
      <c r="K85" s="359"/>
    </row>
    <row r="86" spans="1:11" s="360" customFormat="1" ht="11.4" customHeight="1">
      <c r="A86" s="145" t="s">
        <v>1892</v>
      </c>
      <c r="B86" s="361">
        <f>'Sources and Uses Budget'!C86</f>
        <v>100000</v>
      </c>
      <c r="C86" s="362">
        <v>100000</v>
      </c>
      <c r="D86" s="362"/>
      <c r="E86" s="361">
        <f>'Sources and Uses Budget'!S86</f>
        <v>100000</v>
      </c>
      <c r="F86" s="362">
        <v>100000</v>
      </c>
      <c r="G86" s="362"/>
      <c r="H86" s="361">
        <f>'Sources and Uses Budget'!T86</f>
        <v>0</v>
      </c>
      <c r="I86" s="362"/>
      <c r="J86" s="362"/>
      <c r="K86" s="359"/>
    </row>
    <row r="87" spans="1:11" s="360" customFormat="1" ht="11.4" customHeight="1">
      <c r="A87" s="145" t="s">
        <v>1893</v>
      </c>
      <c r="B87" s="361">
        <f>'Sources and Uses Budget'!C87</f>
        <v>0</v>
      </c>
      <c r="C87" s="362">
        <v>0</v>
      </c>
      <c r="D87" s="362"/>
      <c r="E87" s="361">
        <f>'Sources and Uses Budget'!S87</f>
        <v>0</v>
      </c>
      <c r="F87" s="362"/>
      <c r="G87" s="362"/>
      <c r="H87" s="361">
        <f>'Sources and Uses Budget'!T87</f>
        <v>0</v>
      </c>
      <c r="I87" s="362"/>
      <c r="J87" s="362"/>
      <c r="K87" s="359"/>
    </row>
    <row r="88" spans="1:11" s="360" customFormat="1" ht="11.4" customHeight="1">
      <c r="A88" s="145" t="s">
        <v>1894</v>
      </c>
      <c r="B88" s="361">
        <f>'Sources and Uses Budget'!C88</f>
        <v>0</v>
      </c>
      <c r="C88" s="362">
        <v>0</v>
      </c>
      <c r="D88" s="362"/>
      <c r="E88" s="363"/>
      <c r="F88" s="363"/>
      <c r="G88" s="363"/>
      <c r="H88" s="363"/>
      <c r="I88" s="363"/>
      <c r="J88" s="363"/>
      <c r="K88" s="359"/>
    </row>
    <row r="89" spans="1:11" s="360" customFormat="1" ht="11.4" customHeight="1">
      <c r="A89" s="145" t="s">
        <v>1895</v>
      </c>
      <c r="B89" s="361">
        <f>'Sources and Uses Budget'!C89</f>
        <v>250000</v>
      </c>
      <c r="C89" s="362">
        <v>250000</v>
      </c>
      <c r="D89" s="362"/>
      <c r="E89" s="361">
        <f>'Sources and Uses Budget'!S89</f>
        <v>250000</v>
      </c>
      <c r="F89" s="362">
        <v>250000</v>
      </c>
      <c r="G89" s="362"/>
      <c r="H89" s="361">
        <f>'Sources and Uses Budget'!T89</f>
        <v>0</v>
      </c>
      <c r="I89" s="362"/>
      <c r="J89" s="362"/>
      <c r="K89" s="359"/>
    </row>
    <row r="90" spans="1:11" s="360" customFormat="1" ht="11.4" customHeight="1">
      <c r="A90" s="145" t="s">
        <v>1896</v>
      </c>
      <c r="B90" s="361">
        <f>'Sources and Uses Budget'!C90</f>
        <v>20000</v>
      </c>
      <c r="C90" s="362">
        <v>20000</v>
      </c>
      <c r="D90" s="362"/>
      <c r="E90" s="361">
        <f>'Sources and Uses Budget'!S90</f>
        <v>20000</v>
      </c>
      <c r="F90" s="362">
        <v>20000</v>
      </c>
      <c r="G90" s="362"/>
      <c r="H90" s="361">
        <f>'Sources and Uses Budget'!T90</f>
        <v>0</v>
      </c>
      <c r="I90" s="362"/>
      <c r="J90" s="362"/>
      <c r="K90" s="359"/>
    </row>
    <row r="91" spans="1:11" s="360" customFormat="1" ht="11.4" customHeight="1">
      <c r="A91" s="155" t="s">
        <v>1897</v>
      </c>
      <c r="B91" s="361">
        <f>'Sources and Uses Budget'!C91</f>
        <v>15000</v>
      </c>
      <c r="C91" s="362">
        <v>15000</v>
      </c>
      <c r="D91" s="362"/>
      <c r="E91" s="361">
        <f>'Sources and Uses Budget'!S91</f>
        <v>15000</v>
      </c>
      <c r="F91" s="362">
        <v>15000</v>
      </c>
      <c r="G91" s="362"/>
      <c r="H91" s="361">
        <f>'Sources and Uses Budget'!T91</f>
        <v>0</v>
      </c>
      <c r="I91" s="362"/>
      <c r="J91" s="362"/>
      <c r="K91" s="359"/>
    </row>
    <row r="92" spans="1:11" s="360" customFormat="1" ht="11.4" customHeight="1">
      <c r="A92" s="508" t="s">
        <v>1898</v>
      </c>
      <c r="B92" s="361">
        <f>'Sources and Uses Budget'!C92</f>
        <v>0</v>
      </c>
      <c r="C92" s="362">
        <v>0</v>
      </c>
      <c r="D92" s="362"/>
      <c r="E92" s="361">
        <f>'Sources and Uses Budget'!S92</f>
        <v>0</v>
      </c>
      <c r="F92" s="362">
        <v>0</v>
      </c>
      <c r="G92" s="362"/>
      <c r="H92" s="361">
        <f>'Sources and Uses Budget'!T92</f>
        <v>0</v>
      </c>
      <c r="I92" s="362"/>
      <c r="J92" s="362"/>
      <c r="K92" s="359"/>
    </row>
    <row r="93" spans="1:11" s="360" customFormat="1" ht="11.4" customHeight="1">
      <c r="A93" s="364" t="str">
        <f>'Sources and Uses Budget'!$A93</f>
        <v>Other: Administrative Costs</v>
      </c>
      <c r="B93" s="361">
        <f>'Sources and Uses Budget'!C93</f>
        <v>15000</v>
      </c>
      <c r="C93" s="362">
        <v>15000</v>
      </c>
      <c r="D93" s="362"/>
      <c r="E93" s="361">
        <f>'Sources and Uses Budget'!S93</f>
        <v>15000</v>
      </c>
      <c r="F93" s="362">
        <v>15000</v>
      </c>
      <c r="G93" s="362"/>
      <c r="H93" s="361">
        <f>'Sources and Uses Budget'!T93</f>
        <v>0</v>
      </c>
      <c r="I93" s="362"/>
      <c r="J93" s="362"/>
      <c r="K93" s="359"/>
    </row>
    <row r="94" spans="1:11" s="360" customFormat="1" ht="11.4" customHeigh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ustomHeigh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1900</v>
      </c>
      <c r="B96" s="361">
        <f>'Sources and Uses Budget'!C96</f>
        <v>463863</v>
      </c>
      <c r="C96" s="361">
        <f>SUM(C83:C95)</f>
        <v>463863</v>
      </c>
      <c r="D96" s="361">
        <f>SUM(D83:D95)</f>
        <v>0</v>
      </c>
      <c r="E96" s="361">
        <f>'Sources and Uses Budget'!S96</f>
        <v>400000</v>
      </c>
      <c r="F96" s="367">
        <f>SUM(F84:F87,F89:F95)</f>
        <v>400000</v>
      </c>
      <c r="G96" s="367">
        <f>SUM(G84:G87,G89:G95)</f>
        <v>0</v>
      </c>
      <c r="H96" s="361">
        <f>'Sources and Uses Budget'!T96</f>
        <v>0</v>
      </c>
      <c r="I96" s="361">
        <f>SUM(I84:I87,I89:I95)</f>
        <v>0</v>
      </c>
      <c r="J96" s="361">
        <f>SUM(J84:J87,J89:J95)</f>
        <v>0</v>
      </c>
      <c r="K96" s="359"/>
    </row>
    <row r="97" spans="1:11" s="360" customFormat="1">
      <c r="A97" s="365" t="s">
        <v>1954</v>
      </c>
      <c r="B97" s="361">
        <f>'Sources and Uses Budget'!C97</f>
        <v>27931643</v>
      </c>
      <c r="C97" s="361">
        <f>SUM(C63+C70+C77+C81+C96)</f>
        <v>27931643</v>
      </c>
      <c r="D97" s="361">
        <f>SUM(D63+D70+D77+D81+D96)</f>
        <v>0</v>
      </c>
      <c r="E97" s="361">
        <f>'Sources and Uses Budget'!S97</f>
        <v>12187355</v>
      </c>
      <c r="F97" s="367">
        <f>SUM(+F63+F70+F81+F96)</f>
        <v>12187355</v>
      </c>
      <c r="G97" s="367">
        <f>SUM(+G63+G70+G81+G96)</f>
        <v>0</v>
      </c>
      <c r="H97" s="361">
        <f>'Sources and Uses Budget'!T97</f>
        <v>12121356</v>
      </c>
      <c r="I97" s="367">
        <f>SUM(I63+I70+I81+I96)</f>
        <v>12121356</v>
      </c>
      <c r="J97" s="367">
        <f>SUM(J63+J70+J81+J96)</f>
        <v>0</v>
      </c>
      <c r="K97" s="359"/>
    </row>
    <row r="98" spans="1:11" s="360" customFormat="1" ht="11.4" customHeight="1">
      <c r="A98" s="357" t="s">
        <v>1902</v>
      </c>
      <c r="B98" s="358"/>
      <c r="C98" s="358"/>
      <c r="D98" s="358"/>
      <c r="E98" s="358"/>
      <c r="F98" s="358"/>
      <c r="G98" s="358"/>
      <c r="H98" s="358"/>
      <c r="I98" s="358"/>
      <c r="J98" s="358"/>
      <c r="K98" s="359"/>
    </row>
    <row r="99" spans="1:11" s="360" customFormat="1" ht="11.4" customHeight="1">
      <c r="A99" s="145" t="s">
        <v>1903</v>
      </c>
      <c r="B99" s="361">
        <f>'Sources and Uses Budget'!C99</f>
        <v>3043539</v>
      </c>
      <c r="C99" s="362">
        <v>3043539</v>
      </c>
      <c r="D99" s="362"/>
      <c r="E99" s="361">
        <f>'Sources and Uses Budget'!S99</f>
        <v>2437471</v>
      </c>
      <c r="F99" s="362">
        <v>2437471</v>
      </c>
      <c r="G99" s="362"/>
      <c r="H99" s="361">
        <f>'Sources and Uses Budget'!T99</f>
        <v>606068</v>
      </c>
      <c r="I99" s="362">
        <v>606068</v>
      </c>
      <c r="J99" s="362"/>
      <c r="K99" s="359"/>
    </row>
    <row r="100" spans="1:11" s="360" customFormat="1" ht="11.4" customHeight="1">
      <c r="A100" s="283" t="s">
        <v>1904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ustomHeight="1">
      <c r="A101" s="145" t="s">
        <v>1905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1906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ustomHeigh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1907</v>
      </c>
      <c r="B104" s="361">
        <f>'Sources and Uses Budget'!C104</f>
        <v>3043539</v>
      </c>
      <c r="C104" s="361">
        <f>SUM(C99:C103)</f>
        <v>3043539</v>
      </c>
      <c r="D104" s="361">
        <f>SUM(D99:D103)</f>
        <v>0</v>
      </c>
      <c r="E104" s="361">
        <f>'Sources and Uses Budget'!S104</f>
        <v>2437471</v>
      </c>
      <c r="F104" s="367">
        <f>SUM(F99:F103)</f>
        <v>2437471</v>
      </c>
      <c r="G104" s="367">
        <f>SUM(G99:G103)</f>
        <v>0</v>
      </c>
      <c r="H104" s="361">
        <f>'Sources and Uses Budget'!T104</f>
        <v>606068</v>
      </c>
      <c r="I104" s="367">
        <f>SUM(I99:I103)</f>
        <v>606068</v>
      </c>
      <c r="J104" s="367">
        <f>SUM(J99:J103)</f>
        <v>0</v>
      </c>
      <c r="K104" s="359"/>
    </row>
    <row r="105" spans="1:11" s="360" customFormat="1">
      <c r="A105" s="365" t="s">
        <v>1955</v>
      </c>
      <c r="B105" s="361">
        <f>'Sources and Uses Budget'!C105</f>
        <v>30975182</v>
      </c>
      <c r="C105" s="367">
        <f>SUM(C97+C104)</f>
        <v>30975182</v>
      </c>
      <c r="D105" s="367">
        <f>SUM(D97+D104)</f>
        <v>0</v>
      </c>
      <c r="E105" s="361">
        <f>'Sources and Uses Budget'!S105</f>
        <v>14624826</v>
      </c>
      <c r="F105" s="367">
        <f>F97+F104</f>
        <v>14624826</v>
      </c>
      <c r="G105" s="367">
        <f>G97+G104</f>
        <v>0</v>
      </c>
      <c r="H105" s="361">
        <f>'Sources and Uses Budget'!T105</f>
        <v>12727424</v>
      </c>
      <c r="I105" s="367">
        <f>I97+I104</f>
        <v>12727424</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1956</v>
      </c>
      <c r="E107" s="361">
        <f>'Sources and Uses Budget'!S107</f>
        <v>14624826</v>
      </c>
      <c r="F107" s="367">
        <f>F105+F106</f>
        <v>14624826</v>
      </c>
      <c r="G107" s="367">
        <f>G105+G106</f>
        <v>0</v>
      </c>
      <c r="H107" s="361">
        <f>'Sources and Uses Budget'!T107</f>
        <v>12727424</v>
      </c>
      <c r="I107" s="367">
        <f>I105+I106</f>
        <v>12727424</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ustomHeight="1">
      <c r="A111" s="377"/>
      <c r="B111" s="375"/>
      <c r="C111" s="375"/>
      <c r="D111" s="375"/>
      <c r="J111" s="376"/>
      <c r="K111" s="359"/>
    </row>
    <row r="112" spans="1:11" s="360" customFormat="1" ht="13.2" customHeight="1">
      <c r="A112" s="377"/>
      <c r="B112" s="375"/>
      <c r="C112" s="375"/>
      <c r="D112" s="375"/>
      <c r="J112" s="376"/>
      <c r="K112" s="359"/>
    </row>
    <row r="113" spans="1:11" s="360" customFormat="1" ht="15.6" customHeight="1">
      <c r="A113" s="378"/>
      <c r="B113" s="375"/>
      <c r="C113" s="375"/>
      <c r="D113" s="375"/>
      <c r="J113" s="376"/>
      <c r="K113" s="359"/>
    </row>
    <row r="114" spans="1:11" s="360" customFormat="1" ht="13.2" customHeight="1">
      <c r="A114" s="377"/>
      <c r="J114" s="376"/>
      <c r="K114" s="359"/>
    </row>
    <row r="115" spans="1:11" s="360" customFormat="1" ht="15.6" customHeight="1">
      <c r="A115" s="378"/>
      <c r="J115" s="376"/>
      <c r="K115" s="359"/>
    </row>
    <row r="116" spans="1:11" s="360" customFormat="1" ht="15.6" customHeight="1">
      <c r="A116" s="378"/>
      <c r="J116" s="376"/>
      <c r="K116" s="359"/>
    </row>
    <row r="117" spans="1:11" s="360" customFormat="1" ht="11.4" customHeight="1">
      <c r="B117" s="375"/>
      <c r="C117" s="375"/>
      <c r="D117" s="375"/>
      <c r="J117" s="376"/>
      <c r="K117" s="359"/>
    </row>
    <row r="118" spans="1:11" s="360" customFormat="1" ht="11.4" customHeight="1">
      <c r="J118" s="376"/>
      <c r="K118" s="359"/>
    </row>
    <row r="119" spans="1:11" s="360" customFormat="1" ht="11.4" customHeight="1">
      <c r="J119" s="376"/>
      <c r="K119" s="359"/>
    </row>
    <row r="120" spans="1:11" s="360" customFormat="1" ht="11.4" customHeight="1">
      <c r="J120" s="376"/>
      <c r="K120" s="359"/>
    </row>
    <row r="121" spans="1:11" s="360" customFormat="1" ht="15.6" customHeight="1">
      <c r="A121" s="378"/>
      <c r="J121" s="376"/>
      <c r="K121" s="359"/>
    </row>
    <row r="122" spans="1:11" s="380" customFormat="1" ht="15.6" customHeight="1">
      <c r="A122" s="379"/>
      <c r="J122" s="381"/>
      <c r="K122" s="382"/>
    </row>
    <row r="123" spans="1:11" s="360" customFormat="1" ht="11.4" customHeight="1">
      <c r="A123" s="383"/>
      <c r="J123" s="376"/>
      <c r="K123" s="359"/>
    </row>
    <row r="124" spans="1:11" s="360" customFormat="1" ht="11.4" customHeight="1">
      <c r="B124" s="384"/>
      <c r="D124" s="1678"/>
      <c r="E124" s="1679"/>
      <c r="F124" s="1679"/>
      <c r="G124" s="1679"/>
      <c r="H124" s="1679"/>
      <c r="I124" s="1679"/>
      <c r="J124" s="376"/>
      <c r="K124" s="359"/>
    </row>
    <row r="125" spans="1:11" s="360" customFormat="1" ht="13.2" customHeight="1">
      <c r="A125" s="385"/>
      <c r="B125" s="384"/>
      <c r="C125" s="385"/>
      <c r="D125" s="1679"/>
      <c r="E125" s="1679"/>
      <c r="F125" s="1679"/>
      <c r="G125" s="1679"/>
      <c r="H125" s="1679"/>
      <c r="I125" s="1679"/>
      <c r="J125" s="376"/>
      <c r="K125" s="359"/>
    </row>
    <row r="126" spans="1:11" s="360" customFormat="1" ht="13.2" customHeight="1">
      <c r="A126" s="385"/>
      <c r="B126" s="384"/>
      <c r="C126" s="385"/>
      <c r="D126" s="1679"/>
      <c r="E126" s="1679"/>
      <c r="F126" s="1679"/>
      <c r="G126" s="1679"/>
      <c r="H126" s="1679"/>
      <c r="I126" s="1679"/>
      <c r="J126" s="376"/>
      <c r="K126" s="359"/>
    </row>
    <row r="127" spans="1:11" s="360" customFormat="1" ht="13.2" customHeight="1">
      <c r="A127" s="385"/>
      <c r="B127" s="384"/>
      <c r="C127" s="385"/>
      <c r="D127" s="386"/>
      <c r="E127" s="385"/>
      <c r="F127" s="385"/>
      <c r="G127" s="385"/>
      <c r="J127" s="376"/>
      <c r="K127" s="359"/>
    </row>
    <row r="128" spans="1:11" s="360" customFormat="1" ht="13.2" customHeight="1">
      <c r="A128" s="385"/>
      <c r="B128" s="384"/>
      <c r="C128" s="385"/>
      <c r="D128" s="386"/>
      <c r="E128" s="385"/>
      <c r="F128" s="385"/>
      <c r="G128" s="385"/>
      <c r="J128" s="376"/>
      <c r="K128" s="359"/>
    </row>
    <row r="129" spans="1:11" s="360" customFormat="1" ht="13.2" customHeight="1">
      <c r="A129" s="385"/>
      <c r="B129" s="384"/>
      <c r="C129" s="385"/>
      <c r="D129" s="385"/>
      <c r="E129" s="385"/>
      <c r="F129" s="385"/>
      <c r="G129" s="385"/>
      <c r="J129" s="376"/>
      <c r="K129" s="359"/>
    </row>
    <row r="130" spans="1:11" s="360" customFormat="1" ht="13.2" customHeight="1">
      <c r="A130" s="385"/>
      <c r="B130" s="384"/>
      <c r="C130" s="385"/>
      <c r="D130" s="385"/>
      <c r="E130" s="385"/>
      <c r="F130" s="385"/>
      <c r="G130" s="385"/>
      <c r="J130" s="376"/>
      <c r="K130" s="359"/>
    </row>
    <row r="131" spans="1:11" s="360" customFormat="1" ht="13.2" customHeight="1">
      <c r="A131" s="385"/>
      <c r="B131" s="387"/>
      <c r="C131" s="385"/>
      <c r="D131" s="385"/>
      <c r="E131" s="385"/>
      <c r="F131" s="385"/>
      <c r="G131" s="385"/>
      <c r="J131" s="376"/>
      <c r="K131" s="359"/>
    </row>
    <row r="132" spans="1:11" s="360" customFormat="1" ht="13.2" customHeight="1">
      <c r="A132" s="388"/>
      <c r="B132" s="389"/>
      <c r="C132" s="385"/>
      <c r="D132" s="390"/>
      <c r="E132" s="385"/>
      <c r="F132" s="385"/>
      <c r="G132" s="385"/>
      <c r="J132" s="376"/>
      <c r="K132" s="359"/>
    </row>
    <row r="133" spans="1:11" s="360" customFormat="1" ht="13.2" customHeight="1">
      <c r="A133" s="391"/>
      <c r="B133" s="385"/>
      <c r="C133" s="385"/>
      <c r="D133" s="385"/>
      <c r="E133" s="385"/>
      <c r="F133" s="385"/>
      <c r="G133" s="385"/>
      <c r="J133" s="376"/>
      <c r="K133" s="359"/>
    </row>
    <row r="134" spans="1:11" s="360" customFormat="1" ht="13.2" customHeight="1">
      <c r="A134" s="391"/>
      <c r="B134" s="385"/>
      <c r="C134" s="385"/>
      <c r="D134" s="385"/>
      <c r="E134" s="385"/>
      <c r="F134" s="385"/>
      <c r="G134" s="385"/>
      <c r="J134" s="376"/>
      <c r="K134" s="359"/>
    </row>
    <row r="135" spans="1:11" s="360" customFormat="1" ht="13.2" customHeight="1">
      <c r="A135" s="392"/>
      <c r="B135" s="385"/>
      <c r="C135" s="385"/>
      <c r="D135" s="385"/>
      <c r="E135" s="385"/>
      <c r="F135" s="385"/>
      <c r="G135" s="385"/>
      <c r="J135" s="376"/>
      <c r="K135" s="359"/>
    </row>
    <row r="136" spans="1:11" s="360" customFormat="1" ht="13.2" customHeight="1">
      <c r="A136" s="377"/>
      <c r="B136" s="385"/>
      <c r="C136" s="385"/>
      <c r="D136" s="385"/>
      <c r="E136" s="385"/>
      <c r="F136" s="385"/>
      <c r="G136" s="385"/>
      <c r="J136" s="376"/>
      <c r="K136" s="359"/>
    </row>
    <row r="137" spans="1:11" ht="13.2" customHeight="1">
      <c r="A137" s="391"/>
      <c r="B137" s="385"/>
      <c r="C137" s="385"/>
      <c r="D137" s="385"/>
      <c r="E137" s="385"/>
      <c r="F137" s="385"/>
      <c r="G137" s="385"/>
    </row>
    <row r="138" spans="1:11" ht="12" customHeight="1">
      <c r="A138" s="391"/>
      <c r="B138" s="385"/>
      <c r="C138" s="385"/>
      <c r="D138" s="385"/>
      <c r="E138" s="385"/>
      <c r="F138" s="385"/>
      <c r="G138" s="385"/>
    </row>
    <row r="139" spans="1:11" ht="12" customHeight="1">
      <c r="A139" s="1681"/>
      <c r="B139" s="1682"/>
      <c r="C139" s="1682"/>
      <c r="D139" s="356"/>
      <c r="E139" s="385"/>
      <c r="F139" s="385"/>
      <c r="G139" s="385"/>
    </row>
    <row r="140" spans="1:11" ht="12" customHeight="1">
      <c r="A140" s="1320"/>
      <c r="B140" s="1682"/>
      <c r="C140" s="1682"/>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sheetData>
  <sheetProtection algorithmName="SHA-512" hashValue="GTN4xcmqRs9Rm66GDDdGx3dd1amzq0qHHbkwOueqEF8s9i3m7Ej+0ONxXw9AyNcSatr84/HhJv/ALFjHsu13OA==" saltValue="xQwEd0OMHbTo+lheMNTjhQ==" spinCount="100000" sheet="1" objects="1" scenarios="1"/>
  <mergeCells count="4">
    <mergeCell ref="D124:I126"/>
    <mergeCell ref="A1:J1"/>
    <mergeCell ref="A139:C139"/>
    <mergeCell ref="A140:C140"/>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 &amp;A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P251"/>
  <sheetViews>
    <sheetView showGridLines="0" topLeftCell="A100" workbookViewId="0">
      <selection activeCell="AP4" sqref="AP4:AU4"/>
    </sheetView>
  </sheetViews>
  <sheetFormatPr defaultColWidth="2.6640625" defaultRowHeight="15.75" customHeight="1"/>
  <cols>
    <col min="1" max="8" width="2.6640625" style="1199" customWidth="1"/>
    <col min="9" max="9" width="7.6640625" style="1199" customWidth="1"/>
    <col min="10" max="13" width="2.6640625" style="1199" customWidth="1"/>
    <col min="14" max="14" width="4.6640625" style="1199" customWidth="1"/>
    <col min="15" max="19" width="2.6640625" style="1199" customWidth="1"/>
    <col min="20" max="20" width="3.6640625" style="1199" customWidth="1"/>
    <col min="21" max="37" width="2.6640625" style="1199" customWidth="1"/>
    <col min="38" max="38" width="3" style="1199" customWidth="1"/>
    <col min="39" max="45" width="2.6640625" style="1199" customWidth="1"/>
    <col min="46" max="46" width="4.6640625" style="1199" customWidth="1"/>
    <col min="47" max="51" width="2.6640625" style="1199" customWidth="1"/>
    <col min="52" max="52" width="3.5546875" style="1199" customWidth="1"/>
    <col min="53" max="53" width="2.6640625" style="1199" customWidth="1"/>
    <col min="54" max="54" width="4.44140625" style="1199" customWidth="1"/>
    <col min="55" max="64" width="2.6640625" style="1199" customWidth="1"/>
    <col min="65" max="65" width="10.44140625" style="1199" hidden="1" customWidth="1"/>
    <col min="66" max="66" width="5.5546875" style="1200" bestFit="1" customWidth="1"/>
    <col min="67" max="68" width="5.5546875" style="1200" customWidth="1"/>
    <col min="69" max="69" width="8" style="1200" customWidth="1"/>
    <col min="70" max="70" width="6" style="1200" customWidth="1"/>
    <col min="71" max="71" width="6.109375" style="1200" customWidth="1"/>
    <col min="72" max="76" width="5.5546875" style="1200" customWidth="1"/>
    <col min="77" max="77" width="6.109375" style="1200" bestFit="1" customWidth="1"/>
    <col min="78" max="78" width="5.5546875" style="1199" bestFit="1" customWidth="1"/>
    <col min="79" max="79" width="2.6640625" style="1199" customWidth="1"/>
    <col min="80" max="16384" width="2.6640625" style="1199"/>
  </cols>
  <sheetData>
    <row r="1" spans="1:65" ht="15.75" customHeight="1">
      <c r="A1" s="1742" t="s">
        <v>1957</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43"/>
      <c r="AW1" s="1743"/>
      <c r="AX1" s="1743"/>
      <c r="AY1" s="1743"/>
      <c r="AZ1" s="1743"/>
      <c r="BA1" s="1743"/>
      <c r="BB1" s="1743"/>
      <c r="BC1" s="1743"/>
      <c r="BD1" s="1743"/>
      <c r="BE1" s="1744"/>
    </row>
    <row r="2" spans="1:65" ht="15.75" customHeight="1">
      <c r="A2" s="1792" t="s">
        <v>1958</v>
      </c>
      <c r="B2" s="1702"/>
      <c r="C2" s="1702"/>
      <c r="D2" s="1702"/>
      <c r="E2" s="1702"/>
      <c r="F2" s="1702"/>
      <c r="G2" s="1702"/>
      <c r="H2" s="1702"/>
      <c r="I2" s="1702"/>
      <c r="J2" s="1702"/>
      <c r="K2" s="1702"/>
      <c r="L2" s="1702"/>
      <c r="M2" s="1702"/>
      <c r="N2" s="1702"/>
      <c r="O2" s="1702"/>
      <c r="P2" s="1702"/>
      <c r="Q2" s="1702"/>
      <c r="R2" s="1702"/>
      <c r="S2" s="1702"/>
      <c r="T2" s="1702"/>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c r="AT2" s="1702"/>
      <c r="AU2" s="1702"/>
      <c r="AV2" s="1702"/>
      <c r="AW2" s="1702"/>
      <c r="AX2" s="1702"/>
      <c r="AY2" s="1702"/>
      <c r="AZ2" s="1702"/>
      <c r="BA2" s="1702"/>
      <c r="BB2" s="1702"/>
      <c r="BC2" s="1702"/>
      <c r="BD2" s="1702"/>
      <c r="BE2" s="1793"/>
      <c r="BF2" s="1201"/>
    </row>
    <row r="3" spans="1:65" ht="15.75" customHeight="1" thickBot="1">
      <c r="A3" s="1202"/>
      <c r="B3" s="1203"/>
      <c r="C3" s="1203"/>
      <c r="D3" s="1203"/>
      <c r="E3" s="1203"/>
      <c r="F3" s="1203"/>
      <c r="G3" s="1203"/>
      <c r="H3" s="1203"/>
      <c r="I3" s="1203"/>
      <c r="J3" s="1203"/>
      <c r="K3" s="1203"/>
      <c r="L3" s="1203"/>
      <c r="M3" s="1203"/>
      <c r="N3" s="1203"/>
      <c r="O3" s="1203"/>
      <c r="P3" s="1203"/>
      <c r="Q3" s="1203"/>
      <c r="R3" s="1203"/>
      <c r="S3" s="1203"/>
      <c r="T3" s="1203"/>
      <c r="U3" s="1203"/>
      <c r="V3" s="1203"/>
      <c r="W3" s="1203"/>
      <c r="X3" s="1203"/>
      <c r="Y3" s="1203"/>
      <c r="Z3" s="1203"/>
      <c r="AA3" s="1203"/>
      <c r="AB3" s="1203"/>
      <c r="AC3" s="1203"/>
      <c r="AD3" s="1203"/>
      <c r="AE3" s="1203"/>
      <c r="AF3" s="1203"/>
      <c r="AG3" s="1203"/>
      <c r="AH3" s="1203"/>
      <c r="AI3" s="1203"/>
      <c r="AJ3" s="1203"/>
      <c r="AK3" s="1203"/>
      <c r="AL3" s="1203"/>
      <c r="AM3" s="1203"/>
      <c r="AN3" s="1203"/>
      <c r="AO3" s="1203"/>
      <c r="AP3" s="1203"/>
      <c r="AQ3" s="1203"/>
      <c r="AR3" s="1203"/>
      <c r="AS3" s="1203"/>
      <c r="AT3" s="1203"/>
      <c r="AU3" s="1203"/>
      <c r="AV3" s="1203"/>
      <c r="AW3" s="1203"/>
      <c r="AX3" s="1774" t="s">
        <v>1959</v>
      </c>
      <c r="AY3" s="1263"/>
      <c r="AZ3" s="1263"/>
      <c r="BA3" s="1264"/>
      <c r="BB3" s="1774" t="s">
        <v>1960</v>
      </c>
      <c r="BC3" s="1263"/>
      <c r="BD3" s="1263"/>
      <c r="BE3" s="1264"/>
    </row>
    <row r="4" spans="1:65" ht="15.75" customHeight="1" thickBot="1">
      <c r="A4" s="1202"/>
      <c r="B4" s="1204" t="s">
        <v>189</v>
      </c>
      <c r="C4" s="1204"/>
      <c r="D4" s="1204"/>
      <c r="E4" s="1204"/>
      <c r="F4" s="1204"/>
      <c r="G4" s="1203"/>
      <c r="H4" s="1203"/>
      <c r="I4" s="1203"/>
      <c r="J4" s="1203"/>
      <c r="K4" s="1203"/>
      <c r="L4" s="1776" t="str">
        <f>IF(Application!H18="","",Application!H18)</f>
        <v>Broadway Villages</v>
      </c>
      <c r="M4" s="1746"/>
      <c r="N4" s="1746"/>
      <c r="O4" s="1746"/>
      <c r="P4" s="1746"/>
      <c r="Q4" s="1746"/>
      <c r="R4" s="1746"/>
      <c r="S4" s="1746"/>
      <c r="T4" s="1746"/>
      <c r="U4" s="1746"/>
      <c r="V4" s="1746"/>
      <c r="W4" s="1746"/>
      <c r="X4" s="1746"/>
      <c r="Y4" s="1746"/>
      <c r="Z4" s="1746"/>
      <c r="AA4" s="1746"/>
      <c r="AB4" s="1746"/>
      <c r="AC4" s="1747"/>
      <c r="AD4" s="1203"/>
      <c r="AE4" s="1203"/>
      <c r="AF4" s="1751" t="s">
        <v>1961</v>
      </c>
      <c r="AG4" s="1263"/>
      <c r="AH4" s="1263"/>
      <c r="AI4" s="1263"/>
      <c r="AJ4" s="1263"/>
      <c r="AK4" s="1263"/>
      <c r="AL4" s="1263"/>
      <c r="AM4" s="1263"/>
      <c r="AN4" s="1263"/>
      <c r="AO4" s="1264"/>
      <c r="AP4" s="1771"/>
      <c r="AQ4" s="1374"/>
      <c r="AR4" s="1374"/>
      <c r="AS4" s="1374"/>
      <c r="AT4" s="1374"/>
      <c r="AU4" s="1375"/>
      <c r="AV4" s="1203"/>
      <c r="AW4" s="1203"/>
      <c r="AX4" s="1779" t="s">
        <v>1962</v>
      </c>
      <c r="AY4" s="1263"/>
      <c r="AZ4" s="1263"/>
      <c r="BA4" s="1264"/>
      <c r="BB4" s="1205">
        <f t="array" ref="BB4">ROUNDDOWN(SUM(IF((B19:I27&gt;0)*(B19:I27&lt;=30%),J19:O27,0))/J29,2)</f>
        <v>0.13</v>
      </c>
      <c r="BC4" s="1206"/>
      <c r="BD4" s="1206"/>
      <c r="BE4" s="1207"/>
    </row>
    <row r="5" spans="1:65" ht="15" customHeight="1" thickBot="1">
      <c r="A5" s="1202"/>
      <c r="B5" s="1203"/>
      <c r="C5" s="1203"/>
      <c r="D5" s="1203"/>
      <c r="E5" s="1203"/>
      <c r="F5" s="1203"/>
      <c r="G5" s="1203"/>
      <c r="H5" s="1203"/>
      <c r="I5" s="1203"/>
      <c r="J5" s="1203"/>
      <c r="K5" s="1203"/>
      <c r="L5" s="1203"/>
      <c r="M5" s="1203"/>
      <c r="N5" s="1203"/>
      <c r="O5" s="1203"/>
      <c r="P5" s="1203"/>
      <c r="Q5" s="1203"/>
      <c r="R5" s="1203"/>
      <c r="S5" s="1203"/>
      <c r="T5" s="1203"/>
      <c r="U5" s="1203"/>
      <c r="V5" s="1203"/>
      <c r="W5" s="1203"/>
      <c r="X5" s="1203"/>
      <c r="Y5" s="1203"/>
      <c r="Z5" s="1203"/>
      <c r="AA5" s="1203"/>
      <c r="AB5" s="1203"/>
      <c r="AC5" s="1203"/>
      <c r="AD5" s="1203"/>
      <c r="AE5" s="1203"/>
      <c r="AF5" s="1751" t="s">
        <v>1963</v>
      </c>
      <c r="AG5" s="1263"/>
      <c r="AH5" s="1263"/>
      <c r="AI5" s="1263"/>
      <c r="AJ5" s="1263"/>
      <c r="AK5" s="1263"/>
      <c r="AL5" s="1263"/>
      <c r="AM5" s="1263"/>
      <c r="AN5" s="1263"/>
      <c r="AO5" s="1264"/>
      <c r="AP5" s="1771"/>
      <c r="AQ5" s="1374"/>
      <c r="AR5" s="1374"/>
      <c r="AS5" s="1374"/>
      <c r="AT5" s="1374"/>
      <c r="AU5" s="1375"/>
      <c r="AV5" s="1203"/>
      <c r="AW5" s="1203"/>
      <c r="AX5" s="1779" t="s">
        <v>1964</v>
      </c>
      <c r="AY5" s="1263"/>
      <c r="AZ5" s="1263"/>
      <c r="BA5" s="1264"/>
      <c r="BB5" s="1205">
        <f t="array" ref="BB5">ROUNDDOWN(SUM(IF((B19:I27&gt;0%)*(B19:I27&lt;=50%),J19:O27,0))/J29,2)</f>
        <v>0.66</v>
      </c>
      <c r="BC5" s="1206"/>
      <c r="BD5" s="1206"/>
      <c r="BE5" s="1207"/>
    </row>
    <row r="6" spans="1:65" ht="15.75" customHeight="1" thickBot="1">
      <c r="A6" s="1202"/>
      <c r="B6" s="1204" t="s">
        <v>1965</v>
      </c>
      <c r="C6" s="1203"/>
      <c r="D6" s="1203"/>
      <c r="E6" s="1203"/>
      <c r="F6" s="1203"/>
      <c r="G6" s="1203"/>
      <c r="H6" s="1203"/>
      <c r="I6" s="1203"/>
      <c r="J6" s="1203"/>
      <c r="K6" s="1203"/>
      <c r="L6" s="1776" t="str">
        <f>IF(Application!H16="","",Application!H16)</f>
        <v>Broadway Villages GP, LLC</v>
      </c>
      <c r="M6" s="1746"/>
      <c r="N6" s="1746"/>
      <c r="O6" s="1746"/>
      <c r="P6" s="1746"/>
      <c r="Q6" s="1746"/>
      <c r="R6" s="1746"/>
      <c r="S6" s="1746"/>
      <c r="T6" s="1746"/>
      <c r="U6" s="1746"/>
      <c r="V6" s="1746"/>
      <c r="W6" s="1746"/>
      <c r="X6" s="1746"/>
      <c r="Y6" s="1746"/>
      <c r="Z6" s="1746"/>
      <c r="AA6" s="1746"/>
      <c r="AB6" s="1746"/>
      <c r="AC6" s="1747"/>
      <c r="AD6" s="1203"/>
      <c r="AE6" s="1203"/>
      <c r="AF6" s="1775" t="s">
        <v>1966</v>
      </c>
      <c r="AG6" s="1263"/>
      <c r="AH6" s="1263"/>
      <c r="AI6" s="1263"/>
      <c r="AJ6" s="1263"/>
      <c r="AK6" s="1263"/>
      <c r="AL6" s="1263"/>
      <c r="AM6" s="1263"/>
      <c r="AN6" s="1263"/>
      <c r="AO6" s="1264"/>
      <c r="AP6" s="1748"/>
      <c r="AQ6" s="1374"/>
      <c r="AR6" s="1374"/>
      <c r="AS6" s="1374"/>
      <c r="AT6" s="1374"/>
      <c r="AU6" s="1375"/>
      <c r="AV6" s="1203"/>
      <c r="AW6" s="1203"/>
      <c r="AX6" s="1779" t="s">
        <v>1967</v>
      </c>
      <c r="AY6" s="1263"/>
      <c r="AZ6" s="1263"/>
      <c r="BA6" s="1264"/>
      <c r="BB6" s="1205">
        <f t="array" ref="BB6">ROUNDDOWN(SUM(IF((B19:I27&gt;60%)*(B19:I27&lt;=80%),J19:O27,0))/J29,2)</f>
        <v>0</v>
      </c>
      <c r="BC6" s="1206"/>
      <c r="BD6" s="1206"/>
      <c r="BE6" s="1207"/>
    </row>
    <row r="7" spans="1:65" ht="15" customHeight="1" thickBot="1">
      <c r="A7" s="1202"/>
      <c r="B7" s="1203"/>
      <c r="C7" s="1203"/>
      <c r="D7" s="1203"/>
      <c r="E7" s="1203"/>
      <c r="F7" s="1203"/>
      <c r="G7" s="1203"/>
      <c r="H7" s="1203"/>
      <c r="I7" s="1203"/>
      <c r="J7" s="1203"/>
      <c r="K7" s="1203"/>
      <c r="L7" s="1203"/>
      <c r="M7" s="1203"/>
      <c r="N7" s="1203"/>
      <c r="O7" s="1203"/>
      <c r="P7" s="1203"/>
      <c r="Q7" s="1203"/>
      <c r="R7" s="1203"/>
      <c r="S7" s="1203"/>
      <c r="T7" s="1203"/>
      <c r="U7" s="1203"/>
      <c r="V7" s="1203"/>
      <c r="W7" s="1203"/>
      <c r="X7" s="1203"/>
      <c r="Y7" s="1203"/>
      <c r="Z7" s="1203"/>
      <c r="AA7" s="1203"/>
      <c r="AB7" s="1203"/>
      <c r="AC7" s="1203"/>
      <c r="AD7" s="1203"/>
      <c r="AE7" s="1203"/>
      <c r="AF7" s="1775" t="s">
        <v>1968</v>
      </c>
      <c r="AG7" s="1263"/>
      <c r="AH7" s="1263"/>
      <c r="AI7" s="1263"/>
      <c r="AJ7" s="1263"/>
      <c r="AK7" s="1263"/>
      <c r="AL7" s="1263"/>
      <c r="AM7" s="1263"/>
      <c r="AN7" s="1263"/>
      <c r="AO7" s="1264"/>
      <c r="AP7" s="1748"/>
      <c r="AQ7" s="1374"/>
      <c r="AR7" s="1374"/>
      <c r="AS7" s="1374"/>
      <c r="AT7" s="1374"/>
      <c r="AU7" s="1375"/>
      <c r="AV7" s="1203"/>
      <c r="AW7" s="1203"/>
      <c r="AX7" s="1203"/>
      <c r="AY7" s="1203"/>
      <c r="AZ7" s="1203"/>
      <c r="BA7" s="1203"/>
      <c r="BB7" s="1203"/>
      <c r="BC7" s="1203"/>
      <c r="BD7" s="1203"/>
      <c r="BE7" s="1208"/>
    </row>
    <row r="8" spans="1:65" ht="15" customHeight="1" thickBot="1">
      <c r="A8" s="1202"/>
      <c r="B8" s="1204" t="s">
        <v>1969</v>
      </c>
      <c r="C8" s="1203"/>
      <c r="D8" s="1203"/>
      <c r="E8" s="1203"/>
      <c r="F8" s="1203"/>
      <c r="G8" s="1203"/>
      <c r="H8" s="1203"/>
      <c r="I8" s="1203"/>
      <c r="J8" s="1203"/>
      <c r="K8" s="1203"/>
      <c r="L8" s="1203"/>
      <c r="M8" s="1203"/>
      <c r="N8" s="1203"/>
      <c r="O8" s="1203"/>
      <c r="P8" s="1203"/>
      <c r="Q8" s="1203"/>
      <c r="R8" s="1203"/>
      <c r="S8" s="1203"/>
      <c r="T8" s="1203"/>
      <c r="U8" s="1203"/>
      <c r="V8" s="1203"/>
      <c r="W8" s="1203"/>
      <c r="X8" s="1203"/>
      <c r="Y8" s="1203"/>
      <c r="Z8" s="1203"/>
      <c r="AA8" s="1203"/>
      <c r="AB8" s="1780" t="str">
        <f>Application!T197</f>
        <v>Yes</v>
      </c>
      <c r="AC8" s="1746"/>
      <c r="AD8" s="1747"/>
      <c r="AE8" s="1203"/>
      <c r="AF8" s="1775" t="s">
        <v>1970</v>
      </c>
      <c r="AG8" s="1263"/>
      <c r="AH8" s="1263"/>
      <c r="AI8" s="1263"/>
      <c r="AJ8" s="1263"/>
      <c r="AK8" s="1263"/>
      <c r="AL8" s="1263"/>
      <c r="AM8" s="1263"/>
      <c r="AN8" s="1263"/>
      <c r="AO8" s="1264"/>
      <c r="AP8" s="1748" t="s">
        <v>803</v>
      </c>
      <c r="AQ8" s="1374"/>
      <c r="AR8" s="1374"/>
      <c r="AS8" s="1374"/>
      <c r="AT8" s="1374"/>
      <c r="AU8" s="1375"/>
      <c r="AV8" s="1203"/>
      <c r="AW8" s="1203"/>
      <c r="AX8" s="1203"/>
      <c r="AY8" s="1203"/>
      <c r="AZ8" s="1203"/>
      <c r="BA8" s="1203"/>
      <c r="BB8" s="1203"/>
      <c r="BC8" s="1203"/>
      <c r="BD8" s="1203"/>
      <c r="BE8" s="1208"/>
      <c r="BM8" s="1199" t="s">
        <v>19</v>
      </c>
    </row>
    <row r="9" spans="1:65" ht="14.4" customHeight="1">
      <c r="A9" s="1203"/>
      <c r="B9" s="1203"/>
      <c r="C9" s="1203"/>
      <c r="D9" s="1203"/>
      <c r="E9" s="1203"/>
      <c r="F9" s="1203"/>
      <c r="G9" s="1203"/>
      <c r="H9" s="1203"/>
      <c r="I9" s="1203"/>
      <c r="J9" s="1203"/>
      <c r="K9" s="1203"/>
      <c r="L9" s="1203"/>
      <c r="M9" s="1203"/>
      <c r="N9" s="1203"/>
      <c r="O9" s="1203"/>
      <c r="P9" s="1203"/>
      <c r="Q9" s="1203"/>
      <c r="R9" s="1203"/>
      <c r="S9" s="1203"/>
      <c r="T9" s="1203"/>
      <c r="U9" s="1203"/>
      <c r="V9" s="1203"/>
      <c r="W9" s="1203"/>
      <c r="X9" s="1203"/>
      <c r="Y9" s="1203"/>
      <c r="Z9" s="1203"/>
      <c r="AA9" s="1203"/>
      <c r="AB9" s="1203"/>
      <c r="AC9" s="1203"/>
      <c r="AD9" s="1203"/>
      <c r="AE9" s="1203"/>
      <c r="AF9" s="1751" t="s">
        <v>1971</v>
      </c>
      <c r="AG9" s="1263"/>
      <c r="AH9" s="1263"/>
      <c r="AI9" s="1263"/>
      <c r="AJ9" s="1263"/>
      <c r="AK9" s="1263"/>
      <c r="AL9" s="1263"/>
      <c r="AM9" s="1263"/>
      <c r="AN9" s="1263"/>
      <c r="AO9" s="1264"/>
      <c r="AP9" s="1771"/>
      <c r="AQ9" s="1374"/>
      <c r="AR9" s="1374"/>
      <c r="AS9" s="1374"/>
      <c r="AT9" s="1374"/>
      <c r="AU9" s="1375"/>
      <c r="AV9" s="1203"/>
      <c r="AW9" s="1203"/>
      <c r="AX9" s="1203"/>
      <c r="AY9" s="1203"/>
      <c r="AZ9" s="1203"/>
      <c r="BA9" s="1203"/>
      <c r="BB9" s="1203"/>
      <c r="BC9" s="1203"/>
      <c r="BD9" s="1203"/>
      <c r="BE9" s="1208"/>
      <c r="BM9" s="1199" t="s">
        <v>1972</v>
      </c>
    </row>
    <row r="10" spans="1:65" ht="14.4" customHeight="1">
      <c r="A10" s="1202"/>
      <c r="B10" s="1204" t="s">
        <v>1973</v>
      </c>
      <c r="C10" s="1204"/>
      <c r="D10" s="1204"/>
      <c r="E10" s="1204"/>
      <c r="F10" s="1204"/>
      <c r="G10" s="1204"/>
      <c r="H10" s="1204"/>
      <c r="I10" s="1204"/>
      <c r="J10" s="1204"/>
      <c r="K10" s="1204"/>
      <c r="L10" s="1204"/>
      <c r="M10" s="1203"/>
      <c r="N10" s="1907">
        <f>Application!AO635</f>
        <v>5600000</v>
      </c>
      <c r="O10" s="1263"/>
      <c r="P10" s="1263"/>
      <c r="Q10" s="1263"/>
      <c r="R10" s="1263"/>
      <c r="S10" s="1263"/>
      <c r="T10" s="1264"/>
      <c r="U10" s="1203"/>
      <c r="V10" s="1203"/>
      <c r="W10" s="1203"/>
      <c r="X10" s="1209"/>
      <c r="Y10" s="1209"/>
      <c r="Z10" s="1209"/>
      <c r="AA10" s="1209"/>
      <c r="AB10" s="1209"/>
      <c r="AC10" s="1209"/>
      <c r="AD10" s="1209"/>
      <c r="AE10" s="1209"/>
      <c r="AF10" s="1751" t="s">
        <v>1974</v>
      </c>
      <c r="AG10" s="1263"/>
      <c r="AH10" s="1263"/>
      <c r="AI10" s="1263"/>
      <c r="AJ10" s="1263"/>
      <c r="AK10" s="1263"/>
      <c r="AL10" s="1263"/>
      <c r="AM10" s="1263"/>
      <c r="AN10" s="1263"/>
      <c r="AO10" s="1264"/>
      <c r="AP10" s="1771"/>
      <c r="AQ10" s="1374"/>
      <c r="AR10" s="1374"/>
      <c r="AS10" s="1374"/>
      <c r="AT10" s="1374"/>
      <c r="AU10" s="1375"/>
      <c r="AV10" s="1209"/>
      <c r="AW10" s="1209"/>
      <c r="AX10" s="1203"/>
      <c r="AY10" s="1203"/>
      <c r="AZ10" s="1203"/>
      <c r="BA10" s="1203"/>
      <c r="BB10" s="1203"/>
      <c r="BC10" s="1203"/>
      <c r="BD10" s="1203"/>
      <c r="BE10" s="1208"/>
      <c r="BM10" s="1199" t="s">
        <v>1975</v>
      </c>
    </row>
    <row r="11" spans="1:65" ht="14.4" customHeight="1">
      <c r="A11" s="1202"/>
      <c r="B11" s="1204" t="s">
        <v>1976</v>
      </c>
      <c r="C11" s="1204"/>
      <c r="D11" s="1204"/>
      <c r="E11" s="1204"/>
      <c r="F11" s="1204"/>
      <c r="G11" s="1204"/>
      <c r="H11" s="1204"/>
      <c r="I11" s="1204"/>
      <c r="J11" s="1204"/>
      <c r="K11" s="1204"/>
      <c r="L11" s="1204"/>
      <c r="M11" s="1203"/>
      <c r="N11" s="1907">
        <f>Application!AA943</f>
        <v>0</v>
      </c>
      <c r="O11" s="1263"/>
      <c r="P11" s="1263"/>
      <c r="Q11" s="1263"/>
      <c r="R11" s="1263"/>
      <c r="S11" s="1263"/>
      <c r="T11" s="1264"/>
      <c r="U11" s="1203"/>
      <c r="V11" s="1203"/>
      <c r="W11" s="1203"/>
      <c r="X11" s="1209"/>
      <c r="Y11" s="1209"/>
      <c r="Z11" s="1209"/>
      <c r="AA11" s="1209"/>
      <c r="AB11" s="1209"/>
      <c r="AC11" s="1209"/>
      <c r="AD11" s="1209"/>
      <c r="AE11" s="1209"/>
      <c r="AF11" s="1751" t="s">
        <v>1977</v>
      </c>
      <c r="AG11" s="1263"/>
      <c r="AH11" s="1263"/>
      <c r="AI11" s="1263"/>
      <c r="AJ11" s="1263"/>
      <c r="AK11" s="1263"/>
      <c r="AL11" s="1263"/>
      <c r="AM11" s="1263"/>
      <c r="AN11" s="1263"/>
      <c r="AO11" s="1264"/>
      <c r="AP11" s="1771"/>
      <c r="AQ11" s="1374"/>
      <c r="AR11" s="1374"/>
      <c r="AS11" s="1374"/>
      <c r="AT11" s="1374"/>
      <c r="AU11" s="1375"/>
      <c r="AV11" s="1209"/>
      <c r="AW11" s="1209"/>
      <c r="AX11" s="1203"/>
      <c r="AY11" s="1203"/>
      <c r="AZ11" s="1203"/>
      <c r="BA11" s="1203"/>
      <c r="BB11" s="1203"/>
      <c r="BC11" s="1203"/>
      <c r="BD11" s="1203"/>
      <c r="BE11" s="1208"/>
      <c r="BM11" s="1199" t="s">
        <v>803</v>
      </c>
    </row>
    <row r="12" spans="1:65" ht="15" customHeight="1" thickBot="1">
      <c r="A12" s="1203"/>
      <c r="B12" s="1203"/>
      <c r="C12" s="1203"/>
      <c r="D12" s="1203"/>
      <c r="E12" s="1203"/>
      <c r="F12" s="1203"/>
      <c r="G12" s="1203"/>
      <c r="H12" s="1203"/>
      <c r="I12" s="1203"/>
      <c r="J12" s="1203"/>
      <c r="K12" s="1203"/>
      <c r="L12" s="1203"/>
      <c r="M12" s="1203"/>
      <c r="N12" s="1203"/>
      <c r="O12" s="1203"/>
      <c r="P12" s="1203"/>
      <c r="Q12" s="1203"/>
      <c r="R12" s="1203"/>
      <c r="S12" s="1203"/>
      <c r="T12" s="1203"/>
      <c r="U12" s="1203"/>
      <c r="V12" s="1203"/>
      <c r="W12" s="1203"/>
      <c r="X12" s="1209"/>
      <c r="Y12" s="1209"/>
      <c r="Z12" s="1209"/>
      <c r="AA12" s="1209"/>
      <c r="AB12" s="1209"/>
      <c r="AC12" s="1209"/>
      <c r="AD12" s="1209"/>
      <c r="AE12" s="1209"/>
      <c r="AF12" s="1209"/>
      <c r="AG12" s="1209"/>
      <c r="AH12" s="1209"/>
      <c r="AI12" s="1209"/>
      <c r="AJ12" s="1209"/>
      <c r="AK12" s="1209"/>
      <c r="AL12" s="1209"/>
      <c r="AM12" s="1209"/>
      <c r="AN12" s="1209"/>
      <c r="AO12" s="1209"/>
      <c r="AP12" s="1209"/>
      <c r="AQ12" s="1209"/>
      <c r="AR12" s="1209"/>
      <c r="AS12" s="1209"/>
      <c r="AT12" s="1209"/>
      <c r="AU12" s="1209"/>
      <c r="AV12" s="1203"/>
      <c r="AW12" s="1203"/>
      <c r="AX12" s="1203"/>
      <c r="AY12" s="1203"/>
      <c r="AZ12" s="1203"/>
      <c r="BA12" s="1203"/>
      <c r="BB12" s="1203"/>
      <c r="BC12" s="1203"/>
      <c r="BD12" s="1203"/>
      <c r="BE12" s="1210"/>
      <c r="BM12" s="1199" t="s">
        <v>1978</v>
      </c>
    </row>
    <row r="13" spans="1:65" ht="15" customHeight="1" thickBot="1">
      <c r="A13" s="1203"/>
      <c r="B13" s="1745" t="s">
        <v>1979</v>
      </c>
      <c r="C13" s="1746"/>
      <c r="D13" s="1746"/>
      <c r="E13" s="1746"/>
      <c r="F13" s="1746"/>
      <c r="G13" s="1746"/>
      <c r="H13" s="1746"/>
      <c r="I13" s="1746"/>
      <c r="J13" s="1746"/>
      <c r="K13" s="1746"/>
      <c r="L13" s="1746"/>
      <c r="M13" s="1746"/>
      <c r="N13" s="1746"/>
      <c r="O13" s="1746"/>
      <c r="P13" s="1747"/>
      <c r="Q13" s="1796" t="s">
        <v>811</v>
      </c>
      <c r="R13" s="1797"/>
      <c r="S13" s="1797"/>
      <c r="T13" s="1798"/>
      <c r="U13" s="1209"/>
      <c r="V13" s="1203"/>
      <c r="W13" s="1203"/>
      <c r="X13" s="1203"/>
      <c r="Y13" s="1203"/>
      <c r="Z13" s="1203"/>
      <c r="AA13" s="1878" t="s">
        <v>1980</v>
      </c>
      <c r="AB13" s="1263"/>
      <c r="AC13" s="1263"/>
      <c r="AD13" s="1263"/>
      <c r="AE13" s="1263"/>
      <c r="AF13" s="1263"/>
      <c r="AG13" s="1263"/>
      <c r="AH13" s="1263"/>
      <c r="AI13" s="1263"/>
      <c r="AJ13" s="1263"/>
      <c r="AK13" s="1263"/>
      <c r="AL13" s="1263"/>
      <c r="AM13" s="1263"/>
      <c r="AN13" s="1264"/>
      <c r="AO13" s="1852">
        <f>Application!W481</f>
        <v>0</v>
      </c>
      <c r="AP13" s="1263"/>
      <c r="AQ13" s="1263"/>
      <c r="AR13" s="1263"/>
      <c r="AS13" s="1264"/>
      <c r="AT13" s="1209"/>
      <c r="AU13" s="1209"/>
      <c r="AV13" s="1209"/>
      <c r="AW13" s="1209"/>
      <c r="AX13" s="1209"/>
      <c r="AY13" s="1209"/>
      <c r="AZ13" s="1209"/>
      <c r="BA13" s="1209"/>
      <c r="BB13" s="1209"/>
      <c r="BC13" s="1209"/>
      <c r="BD13" s="1209"/>
      <c r="BE13" s="1210"/>
      <c r="BM13" s="1199" t="s">
        <v>1981</v>
      </c>
    </row>
    <row r="14" spans="1:65" ht="15" customHeight="1" thickBot="1">
      <c r="A14" s="1203"/>
      <c r="B14" s="1203"/>
      <c r="C14" s="1203"/>
      <c r="D14" s="1203"/>
      <c r="E14" s="1203"/>
      <c r="F14" s="1203"/>
      <c r="G14" s="1203"/>
      <c r="H14" s="1203"/>
      <c r="I14" s="1203"/>
      <c r="J14" s="1203"/>
      <c r="K14" s="1203"/>
      <c r="L14" s="1203"/>
      <c r="M14" s="1203"/>
      <c r="N14" s="1203"/>
      <c r="O14" s="1203"/>
      <c r="P14" s="1203"/>
      <c r="Q14" s="1203"/>
      <c r="R14" s="1203"/>
      <c r="S14" s="1203"/>
      <c r="T14" s="1203"/>
      <c r="U14" s="1203"/>
      <c r="V14" s="1203"/>
      <c r="W14" s="1203"/>
      <c r="X14" s="1203"/>
      <c r="Y14" s="1203"/>
      <c r="Z14" s="1203"/>
      <c r="AA14" s="1906" t="s">
        <v>1982</v>
      </c>
      <c r="AB14" s="1263"/>
      <c r="AC14" s="1263"/>
      <c r="AD14" s="1263"/>
      <c r="AE14" s="1263"/>
      <c r="AF14" s="1263"/>
      <c r="AG14" s="1263"/>
      <c r="AH14" s="1263"/>
      <c r="AI14" s="1263"/>
      <c r="AJ14" s="1263"/>
      <c r="AK14" s="1263"/>
      <c r="AL14" s="1263"/>
      <c r="AM14" s="1263"/>
      <c r="AN14" s="1264"/>
      <c r="AO14" s="1750"/>
      <c r="AP14" s="1374"/>
      <c r="AQ14" s="1374"/>
      <c r="AR14" s="1374"/>
      <c r="AS14" s="1375"/>
      <c r="AT14" s="1209"/>
      <c r="AU14" s="1209"/>
      <c r="AV14" s="1209"/>
      <c r="AW14" s="1209"/>
      <c r="AX14" s="1209"/>
      <c r="AY14" s="1209"/>
      <c r="AZ14" s="1209"/>
      <c r="BA14" s="1209"/>
      <c r="BB14" s="1209"/>
      <c r="BC14" s="1209"/>
      <c r="BD14" s="1209"/>
      <c r="BE14" s="1210"/>
    </row>
    <row r="15" spans="1:65" ht="15" customHeight="1" thickBot="1">
      <c r="A15" s="1203"/>
      <c r="B15" s="1905" t="s">
        <v>1983</v>
      </c>
      <c r="C15" s="1746"/>
      <c r="D15" s="1746"/>
      <c r="E15" s="1746"/>
      <c r="F15" s="1746"/>
      <c r="G15" s="1746"/>
      <c r="H15" s="1746"/>
      <c r="I15" s="1746"/>
      <c r="J15" s="1746"/>
      <c r="K15" s="1746"/>
      <c r="L15" s="1746"/>
      <c r="M15" s="1746"/>
      <c r="N15" s="1746"/>
      <c r="O15" s="1746"/>
      <c r="P15" s="1746"/>
      <c r="Q15" s="1746"/>
      <c r="R15" s="1778"/>
      <c r="S15" s="1777" t="str">
        <f>IF(Application!AB215="","",Application!AB215)</f>
        <v/>
      </c>
      <c r="T15" s="1746"/>
      <c r="U15" s="1746"/>
      <c r="V15" s="1746"/>
      <c r="W15" s="1778"/>
      <c r="X15" s="1209"/>
      <c r="Y15" s="1203"/>
      <c r="Z15" s="1203"/>
      <c r="AA15" s="1878" t="s">
        <v>1984</v>
      </c>
      <c r="AB15" s="1263"/>
      <c r="AC15" s="1263"/>
      <c r="AD15" s="1263"/>
      <c r="AE15" s="1263"/>
      <c r="AF15" s="1263"/>
      <c r="AG15" s="1263"/>
      <c r="AH15" s="1263"/>
      <c r="AI15" s="1263"/>
      <c r="AJ15" s="1263"/>
      <c r="AK15" s="1263"/>
      <c r="AL15" s="1263"/>
      <c r="AM15" s="1263"/>
      <c r="AN15" s="1264"/>
      <c r="AO15" s="1750"/>
      <c r="AP15" s="1374"/>
      <c r="AQ15" s="1374"/>
      <c r="AR15" s="1374"/>
      <c r="AS15" s="1375"/>
      <c r="AT15" s="1209"/>
      <c r="AU15" s="1209"/>
      <c r="AV15" s="1209"/>
      <c r="AW15" s="1209"/>
      <c r="AX15" s="1209"/>
      <c r="AY15" s="1209"/>
      <c r="AZ15" s="1209"/>
      <c r="BA15" s="1209"/>
      <c r="BB15" s="1209"/>
      <c r="BC15" s="1209"/>
      <c r="BD15" s="1209"/>
      <c r="BE15" s="1210"/>
    </row>
    <row r="16" spans="1:65" ht="15" customHeight="1" thickBot="1">
      <c r="A16" s="1202"/>
      <c r="B16" s="1203"/>
      <c r="C16" s="1203"/>
      <c r="D16" s="1203"/>
      <c r="E16" s="1203"/>
      <c r="F16" s="1203"/>
      <c r="G16" s="1203"/>
      <c r="H16" s="1203"/>
      <c r="I16" s="1203"/>
      <c r="J16" s="1203"/>
      <c r="K16" s="1203"/>
      <c r="L16" s="1203"/>
      <c r="M16" s="1203"/>
      <c r="N16" s="1203"/>
      <c r="O16" s="1203"/>
      <c r="P16" s="1203"/>
      <c r="Q16" s="1203"/>
      <c r="R16" s="1203"/>
      <c r="S16" s="1203"/>
      <c r="T16" s="1203"/>
      <c r="U16" s="1203"/>
      <c r="V16" s="1203"/>
      <c r="W16" s="1203"/>
      <c r="X16" s="1203"/>
      <c r="Y16" s="1203"/>
      <c r="Z16" s="1203"/>
      <c r="AA16" s="1203"/>
      <c r="AB16" s="1203"/>
      <c r="AC16" s="1203"/>
      <c r="AD16" s="1203"/>
      <c r="AE16" s="1203"/>
      <c r="AF16" s="1203"/>
      <c r="AG16" s="1203"/>
      <c r="AH16" s="1203"/>
      <c r="AI16" s="1203"/>
      <c r="AJ16" s="1203"/>
      <c r="AK16" s="1203"/>
      <c r="AL16" s="1203"/>
      <c r="AM16" s="1203"/>
      <c r="AN16" s="1203"/>
      <c r="AO16" s="1203"/>
      <c r="AP16" s="1203"/>
      <c r="AQ16" s="1203"/>
      <c r="AR16" s="1203"/>
      <c r="AS16" s="1203"/>
      <c r="AT16" s="1203"/>
      <c r="AU16" s="1203"/>
      <c r="AV16" s="1203"/>
      <c r="AW16" s="1203"/>
      <c r="AX16" s="1203"/>
      <c r="AY16" s="1203"/>
      <c r="AZ16" s="1203"/>
      <c r="BA16" s="1203"/>
      <c r="BB16" s="1203"/>
      <c r="BC16" s="1203"/>
      <c r="BD16" s="1203"/>
      <c r="BE16" s="1210"/>
    </row>
    <row r="17" spans="1:58" ht="14.4" customHeight="1">
      <c r="A17" s="1203"/>
      <c r="B17" s="1752" t="s">
        <v>1985</v>
      </c>
      <c r="C17" s="1288"/>
      <c r="D17" s="1288"/>
      <c r="E17" s="1288"/>
      <c r="F17" s="1288"/>
      <c r="G17" s="1288"/>
      <c r="H17" s="1288"/>
      <c r="I17" s="1288"/>
      <c r="J17" s="1288"/>
      <c r="K17" s="1288"/>
      <c r="L17" s="1288"/>
      <c r="M17" s="1288"/>
      <c r="N17" s="1288"/>
      <c r="O17" s="1288"/>
      <c r="P17" s="1288"/>
      <c r="Q17" s="1288"/>
      <c r="R17" s="1288"/>
      <c r="S17" s="1288"/>
      <c r="T17" s="1288"/>
      <c r="U17" s="1288"/>
      <c r="V17" s="1288"/>
      <c r="W17" s="1288"/>
      <c r="X17" s="1288"/>
      <c r="Y17" s="1288"/>
      <c r="Z17" s="1288"/>
      <c r="AA17" s="1288"/>
      <c r="AB17" s="1288"/>
      <c r="AC17" s="1288"/>
      <c r="AD17" s="1288"/>
      <c r="AE17" s="1288"/>
      <c r="AF17" s="1288"/>
      <c r="AG17" s="1288"/>
      <c r="AH17" s="1288"/>
      <c r="AI17" s="1288"/>
      <c r="AJ17" s="1288"/>
      <c r="AK17" s="1288"/>
      <c r="AL17" s="1288"/>
      <c r="AM17" s="1288"/>
      <c r="AN17" s="1288"/>
      <c r="AO17" s="1288"/>
      <c r="AP17" s="1288"/>
      <c r="AQ17" s="1288"/>
      <c r="AR17" s="1288"/>
      <c r="AS17" s="1288"/>
      <c r="AT17" s="1288"/>
      <c r="AU17" s="1288"/>
      <c r="AV17" s="1288"/>
      <c r="AW17" s="1288"/>
      <c r="AX17" s="1288"/>
      <c r="AY17" s="1285"/>
      <c r="AZ17" s="1203"/>
      <c r="BA17" s="1203"/>
      <c r="BB17" s="1203"/>
      <c r="BC17" s="1203"/>
      <c r="BD17" s="1203"/>
      <c r="BE17" s="1210"/>
      <c r="BF17" s="1201"/>
    </row>
    <row r="18" spans="1:58" ht="15.75" customHeight="1">
      <c r="A18" s="1203"/>
      <c r="B18" s="1851" t="s">
        <v>1986</v>
      </c>
      <c r="C18" s="1417"/>
      <c r="D18" s="1417"/>
      <c r="E18" s="1417"/>
      <c r="F18" s="1417"/>
      <c r="G18" s="1417"/>
      <c r="H18" s="1417"/>
      <c r="I18" s="1423"/>
      <c r="J18" s="1749" t="s">
        <v>42</v>
      </c>
      <c r="K18" s="1263"/>
      <c r="L18" s="1263"/>
      <c r="M18" s="1263"/>
      <c r="N18" s="1263"/>
      <c r="O18" s="1264"/>
      <c r="P18" s="1749" t="s">
        <v>954</v>
      </c>
      <c r="Q18" s="1263"/>
      <c r="R18" s="1263"/>
      <c r="S18" s="1263"/>
      <c r="T18" s="1263"/>
      <c r="U18" s="1264"/>
      <c r="V18" s="1749" t="s">
        <v>955</v>
      </c>
      <c r="W18" s="1263"/>
      <c r="X18" s="1263"/>
      <c r="Y18" s="1263"/>
      <c r="Z18" s="1263"/>
      <c r="AA18" s="1264"/>
      <c r="AB18" s="1749" t="s">
        <v>956</v>
      </c>
      <c r="AC18" s="1263"/>
      <c r="AD18" s="1263"/>
      <c r="AE18" s="1263"/>
      <c r="AF18" s="1263"/>
      <c r="AG18" s="1264"/>
      <c r="AH18" s="1749" t="s">
        <v>957</v>
      </c>
      <c r="AI18" s="1263"/>
      <c r="AJ18" s="1263"/>
      <c r="AK18" s="1263"/>
      <c r="AL18" s="1263"/>
      <c r="AM18" s="1264"/>
      <c r="AN18" s="1749" t="s">
        <v>958</v>
      </c>
      <c r="AO18" s="1263"/>
      <c r="AP18" s="1263"/>
      <c r="AQ18" s="1263"/>
      <c r="AR18" s="1263"/>
      <c r="AS18" s="1264"/>
      <c r="AT18" s="1773" t="s">
        <v>1987</v>
      </c>
      <c r="AU18" s="1263"/>
      <c r="AV18" s="1263"/>
      <c r="AW18" s="1263"/>
      <c r="AX18" s="1263"/>
      <c r="AY18" s="1268"/>
      <c r="AZ18" s="1203"/>
      <c r="BA18" s="1203"/>
      <c r="BB18" s="1203"/>
      <c r="BC18" s="1203"/>
      <c r="BD18" s="1203"/>
      <c r="BE18" s="1210"/>
    </row>
    <row r="19" spans="1:58" ht="14.4" customHeight="1">
      <c r="A19" s="1203"/>
      <c r="B19" s="1705">
        <v>0.3</v>
      </c>
      <c r="C19" s="1374"/>
      <c r="D19" s="1374"/>
      <c r="E19" s="1374"/>
      <c r="F19" s="1374"/>
      <c r="G19" s="1374"/>
      <c r="H19" s="1374"/>
      <c r="I19" s="1375"/>
      <c r="J19" s="1699">
        <f t="shared" ref="J19:J24" si="0">SUM(P19:AS19)</f>
        <v>8</v>
      </c>
      <c r="K19" s="1263"/>
      <c r="L19" s="1263"/>
      <c r="M19" s="1263"/>
      <c r="N19" s="1263"/>
      <c r="O19" s="1264"/>
      <c r="P19" s="1699">
        <f t="array" ref="P19">SUMPRODUCT((Application!$B$726:$B$760 = 'CalHFA Addendum'!P$18)*(Application!$AC$726:$AC$760 = 'CalHFA Addendum'!$B19),Application!$G$726:$G$760)</f>
        <v>0</v>
      </c>
      <c r="Q19" s="1263"/>
      <c r="R19" s="1263"/>
      <c r="S19" s="1263"/>
      <c r="T19" s="1263"/>
      <c r="U19" s="1264"/>
      <c r="V19" s="1699">
        <f t="array" ref="V19">SUMPRODUCT((Application!$B$726:$B$760 = 'CalHFA Addendum'!V$18)*(Application!$AC$726:$AC$760 = 'CalHFA Addendum'!$B19),Application!$G$726:$G$760)</f>
        <v>2</v>
      </c>
      <c r="W19" s="1263"/>
      <c r="X19" s="1263"/>
      <c r="Y19" s="1263"/>
      <c r="Z19" s="1263"/>
      <c r="AA19" s="1264"/>
      <c r="AB19" s="1699">
        <f t="array" ref="AB19">SUMPRODUCT((Application!$B$726:$B$760 = 'CalHFA Addendum'!AB$18)*(Application!$AC$726:$AC$760 = 'CalHFA Addendum'!$B19),Application!$G$726:$G$760)</f>
        <v>2</v>
      </c>
      <c r="AC19" s="1263"/>
      <c r="AD19" s="1263"/>
      <c r="AE19" s="1263"/>
      <c r="AF19" s="1263"/>
      <c r="AG19" s="1264"/>
      <c r="AH19" s="1699">
        <f t="array" ref="AH19">SUMPRODUCT((Application!$B$726:$B$760 = 'CalHFA Addendum'!AH$18)*(Application!$AC$726:$AC$760 = 'CalHFA Addendum'!$B19),Application!$G$726:$G$760)</f>
        <v>3</v>
      </c>
      <c r="AI19" s="1263"/>
      <c r="AJ19" s="1263"/>
      <c r="AK19" s="1263"/>
      <c r="AL19" s="1263"/>
      <c r="AM19" s="1264"/>
      <c r="AN19" s="1699">
        <f t="array" ref="AN19">SUMPRODUCT((Application!$B$726:$B$760 = 'CalHFA Addendum'!AN$18)*(Application!$AC$726:$AC$760 = 'CalHFA Addendum'!$B19),Application!$G$726:$G$760)</f>
        <v>1</v>
      </c>
      <c r="AO19" s="1263"/>
      <c r="AP19" s="1263"/>
      <c r="AQ19" s="1263"/>
      <c r="AR19" s="1263"/>
      <c r="AS19" s="1264"/>
      <c r="AT19" s="1683">
        <f t="shared" ref="AT19:AT29" si="1">J19/$J$29</f>
        <v>0.13559322033898305</v>
      </c>
      <c r="AU19" s="1263"/>
      <c r="AV19" s="1263"/>
      <c r="AW19" s="1263"/>
      <c r="AX19" s="1263"/>
      <c r="AY19" s="1268"/>
      <c r="AZ19" s="1211"/>
      <c r="BA19" s="1203"/>
      <c r="BB19" s="1203"/>
      <c r="BC19" s="1203"/>
      <c r="BD19" s="1203"/>
      <c r="BE19" s="1210"/>
    </row>
    <row r="20" spans="1:58" ht="15" customHeight="1">
      <c r="A20" s="1203"/>
      <c r="B20" s="1705">
        <v>0.4</v>
      </c>
      <c r="C20" s="1374"/>
      <c r="D20" s="1374"/>
      <c r="E20" s="1374"/>
      <c r="F20" s="1374"/>
      <c r="G20" s="1374"/>
      <c r="H20" s="1374"/>
      <c r="I20" s="1375"/>
      <c r="J20" s="1699">
        <f t="shared" si="0"/>
        <v>17</v>
      </c>
      <c r="K20" s="1263"/>
      <c r="L20" s="1263"/>
      <c r="M20" s="1263"/>
      <c r="N20" s="1263"/>
      <c r="O20" s="1264"/>
      <c r="P20" s="1699">
        <f t="array" ref="P20">SUMPRODUCT((Application!$B$726:$B$760 = 'CalHFA Addendum'!P$18)*(Application!$AC$726:$AC$760 = 'CalHFA Addendum'!$B20),Application!$G$726:$G$760)</f>
        <v>0</v>
      </c>
      <c r="Q20" s="1263"/>
      <c r="R20" s="1263"/>
      <c r="S20" s="1263"/>
      <c r="T20" s="1263"/>
      <c r="U20" s="1264"/>
      <c r="V20" s="1699">
        <f t="array" ref="V20">SUMPRODUCT((Application!$B$726:$B$760 = 'CalHFA Addendum'!V$18)*(Application!$AC$726:$AC$760 = 'CalHFA Addendum'!$B20),Application!$G$726:$G$760)</f>
        <v>2</v>
      </c>
      <c r="W20" s="1263"/>
      <c r="X20" s="1263"/>
      <c r="Y20" s="1263"/>
      <c r="Z20" s="1263"/>
      <c r="AA20" s="1264"/>
      <c r="AB20" s="1699">
        <f t="array" ref="AB20">SUMPRODUCT((Application!$B$726:$B$760 = 'CalHFA Addendum'!AB$18)*(Application!$AC$726:$AC$760 = 'CalHFA Addendum'!$B20),Application!$G$726:$G$760)</f>
        <v>7</v>
      </c>
      <c r="AC20" s="1263"/>
      <c r="AD20" s="1263"/>
      <c r="AE20" s="1263"/>
      <c r="AF20" s="1263"/>
      <c r="AG20" s="1264"/>
      <c r="AH20" s="1699">
        <f t="array" ref="AH20">SUMPRODUCT((Application!$B$726:$B$760 = 'CalHFA Addendum'!AH$18)*(Application!$AC$726:$AC$760 = 'CalHFA Addendum'!$B20),Application!$G$726:$G$760)</f>
        <v>8</v>
      </c>
      <c r="AI20" s="1263"/>
      <c r="AJ20" s="1263"/>
      <c r="AK20" s="1263"/>
      <c r="AL20" s="1263"/>
      <c r="AM20" s="1264"/>
      <c r="AN20" s="1699">
        <f t="array" ref="AN20">SUMPRODUCT((Application!$B$726:$B$760 = 'CalHFA Addendum'!AN$18)*(Application!$AC$726:$AC$760 = 'CalHFA Addendum'!$B20),Application!$G$726:$G$760)</f>
        <v>0</v>
      </c>
      <c r="AO20" s="1263"/>
      <c r="AP20" s="1263"/>
      <c r="AQ20" s="1263"/>
      <c r="AR20" s="1263"/>
      <c r="AS20" s="1264"/>
      <c r="AT20" s="1683">
        <f t="shared" si="1"/>
        <v>0.28813559322033899</v>
      </c>
      <c r="AU20" s="1263"/>
      <c r="AV20" s="1263"/>
      <c r="AW20" s="1263"/>
      <c r="AX20" s="1263"/>
      <c r="AY20" s="1268"/>
      <c r="AZ20" s="1203"/>
      <c r="BA20" s="1203"/>
      <c r="BB20" s="1203"/>
      <c r="BC20" s="1203"/>
      <c r="BD20" s="1203"/>
      <c r="BE20" s="1210"/>
    </row>
    <row r="21" spans="1:58" ht="14.4" customHeight="1">
      <c r="A21" s="1203"/>
      <c r="B21" s="1705">
        <v>0.5</v>
      </c>
      <c r="C21" s="1374"/>
      <c r="D21" s="1374"/>
      <c r="E21" s="1374"/>
      <c r="F21" s="1374"/>
      <c r="G21" s="1374"/>
      <c r="H21" s="1374"/>
      <c r="I21" s="1375"/>
      <c r="J21" s="1699">
        <f t="shared" si="0"/>
        <v>14</v>
      </c>
      <c r="K21" s="1263"/>
      <c r="L21" s="1263"/>
      <c r="M21" s="1263"/>
      <c r="N21" s="1263"/>
      <c r="O21" s="1264"/>
      <c r="P21" s="1699">
        <f t="array" ref="P21">SUMPRODUCT((Application!$B$726:$B$760 = 'CalHFA Addendum'!P$18)*(Application!$AC$726:$AC$760 = 'CalHFA Addendum'!$B21),Application!$G$726:$G$760)</f>
        <v>0</v>
      </c>
      <c r="Q21" s="1263"/>
      <c r="R21" s="1263"/>
      <c r="S21" s="1263"/>
      <c r="T21" s="1263"/>
      <c r="U21" s="1264"/>
      <c r="V21" s="1699">
        <f t="array" ref="V21">SUMPRODUCT((Application!$B$726:$B$760 = 'CalHFA Addendum'!V$18)*(Application!$AC$726:$AC$760 = 'CalHFA Addendum'!$B21),Application!$G$726:$G$760)</f>
        <v>1</v>
      </c>
      <c r="W21" s="1263"/>
      <c r="X21" s="1263"/>
      <c r="Y21" s="1263"/>
      <c r="Z21" s="1263"/>
      <c r="AA21" s="1264"/>
      <c r="AB21" s="1699">
        <f t="array" ref="AB21">SUMPRODUCT((Application!$B$726:$B$760 = 'CalHFA Addendum'!AB$18)*(Application!$AC$726:$AC$760 = 'CalHFA Addendum'!$B21),Application!$G$726:$G$760)</f>
        <v>3</v>
      </c>
      <c r="AC21" s="1263"/>
      <c r="AD21" s="1263"/>
      <c r="AE21" s="1263"/>
      <c r="AF21" s="1263"/>
      <c r="AG21" s="1264"/>
      <c r="AH21" s="1699">
        <f t="array" ref="AH21">SUMPRODUCT((Application!$B$726:$B$760 = 'CalHFA Addendum'!AH$18)*(Application!$AC$726:$AC$760 = 'CalHFA Addendum'!$B21),Application!$G$726:$G$760)</f>
        <v>6</v>
      </c>
      <c r="AI21" s="1263"/>
      <c r="AJ21" s="1263"/>
      <c r="AK21" s="1263"/>
      <c r="AL21" s="1263"/>
      <c r="AM21" s="1264"/>
      <c r="AN21" s="1699">
        <f t="array" ref="AN21">SUMPRODUCT((Application!$B$726:$B$760 = 'CalHFA Addendum'!AN$18)*(Application!$AC$726:$AC$760 = 'CalHFA Addendum'!$B21),Application!$G$726:$G$760)</f>
        <v>4</v>
      </c>
      <c r="AO21" s="1263"/>
      <c r="AP21" s="1263"/>
      <c r="AQ21" s="1263"/>
      <c r="AR21" s="1263"/>
      <c r="AS21" s="1264"/>
      <c r="AT21" s="1683">
        <f t="shared" si="1"/>
        <v>0.23728813559322035</v>
      </c>
      <c r="AU21" s="1263"/>
      <c r="AV21" s="1263"/>
      <c r="AW21" s="1263"/>
      <c r="AX21" s="1263"/>
      <c r="AY21" s="1268"/>
      <c r="AZ21" s="1203"/>
      <c r="BA21" s="1203"/>
      <c r="BB21" s="1203"/>
      <c r="BC21" s="1203"/>
      <c r="BD21" s="1203"/>
      <c r="BE21" s="1210"/>
    </row>
    <row r="22" spans="1:58" ht="14.4" customHeight="1">
      <c r="A22" s="1203"/>
      <c r="B22" s="1705">
        <v>0.6</v>
      </c>
      <c r="C22" s="1374"/>
      <c r="D22" s="1374"/>
      <c r="E22" s="1374"/>
      <c r="F22" s="1374"/>
      <c r="G22" s="1374"/>
      <c r="H22" s="1374"/>
      <c r="I22" s="1375"/>
      <c r="J22" s="1699">
        <f t="shared" si="0"/>
        <v>19</v>
      </c>
      <c r="K22" s="1263"/>
      <c r="L22" s="1263"/>
      <c r="M22" s="1263"/>
      <c r="N22" s="1263"/>
      <c r="O22" s="1264"/>
      <c r="P22" s="1699">
        <f t="array" ref="P22">SUMPRODUCT((Application!$B$726:$B$760 = 'CalHFA Addendum'!P$18)*(Application!$AC$726:$AC$760 = 'CalHFA Addendum'!$B22),Application!$G$726:$G$760)</f>
        <v>0</v>
      </c>
      <c r="Q22" s="1263"/>
      <c r="R22" s="1263"/>
      <c r="S22" s="1263"/>
      <c r="T22" s="1263"/>
      <c r="U22" s="1264"/>
      <c r="V22" s="1699">
        <f t="array" ref="V22">SUMPRODUCT((Application!$B$726:$B$760 = 'CalHFA Addendum'!V$18)*(Application!$AC$726:$AC$760 = 'CalHFA Addendum'!$B22),Application!$G$726:$G$760)</f>
        <v>5</v>
      </c>
      <c r="W22" s="1263"/>
      <c r="X22" s="1263"/>
      <c r="Y22" s="1263"/>
      <c r="Z22" s="1263"/>
      <c r="AA22" s="1264"/>
      <c r="AB22" s="1699">
        <f t="array" ref="AB22">SUMPRODUCT((Application!$B$726:$B$760 = 'CalHFA Addendum'!AB$18)*(Application!$AC$726:$AC$760 = 'CalHFA Addendum'!$B22),Application!$G$726:$G$760)</f>
        <v>5</v>
      </c>
      <c r="AC22" s="1263"/>
      <c r="AD22" s="1263"/>
      <c r="AE22" s="1263"/>
      <c r="AF22" s="1263"/>
      <c r="AG22" s="1264"/>
      <c r="AH22" s="1699">
        <f t="array" ref="AH22">SUMPRODUCT((Application!$B$726:$B$760 = 'CalHFA Addendum'!AH$18)*(Application!$AC$726:$AC$760 = 'CalHFA Addendum'!$B22),Application!$G$726:$G$760)</f>
        <v>8</v>
      </c>
      <c r="AI22" s="1263"/>
      <c r="AJ22" s="1263"/>
      <c r="AK22" s="1263"/>
      <c r="AL22" s="1263"/>
      <c r="AM22" s="1264"/>
      <c r="AN22" s="1699">
        <f t="array" ref="AN22">SUMPRODUCT((Application!$B$726:$B$760 = 'CalHFA Addendum'!AN$18)*(Application!$AC$726:$AC$760 = 'CalHFA Addendum'!$B22),Application!$G$726:$G$760)</f>
        <v>1</v>
      </c>
      <c r="AO22" s="1263"/>
      <c r="AP22" s="1263"/>
      <c r="AQ22" s="1263"/>
      <c r="AR22" s="1263"/>
      <c r="AS22" s="1264"/>
      <c r="AT22" s="1683">
        <f t="shared" si="1"/>
        <v>0.32203389830508472</v>
      </c>
      <c r="AU22" s="1263"/>
      <c r="AV22" s="1263"/>
      <c r="AW22" s="1263"/>
      <c r="AX22" s="1263"/>
      <c r="AY22" s="1268"/>
      <c r="AZ22" s="1203"/>
      <c r="BA22" s="1203"/>
      <c r="BB22" s="1203"/>
      <c r="BC22" s="1203"/>
      <c r="BD22" s="1203"/>
      <c r="BE22" s="1210"/>
    </row>
    <row r="23" spans="1:58" ht="14.4" customHeight="1">
      <c r="A23" s="1203"/>
      <c r="B23" s="1705">
        <v>0.7</v>
      </c>
      <c r="C23" s="1374"/>
      <c r="D23" s="1374"/>
      <c r="E23" s="1374"/>
      <c r="F23" s="1374"/>
      <c r="G23" s="1374"/>
      <c r="H23" s="1374"/>
      <c r="I23" s="1375"/>
      <c r="J23" s="1699">
        <f t="shared" si="0"/>
        <v>0</v>
      </c>
      <c r="K23" s="1263"/>
      <c r="L23" s="1263"/>
      <c r="M23" s="1263"/>
      <c r="N23" s="1263"/>
      <c r="O23" s="1264"/>
      <c r="P23" s="1699">
        <f t="array" ref="P23">SUMPRODUCT((Application!$B$726:$B$760 = 'CalHFA Addendum'!P$18)*(Application!$AC$726:$AC$760 = 'CalHFA Addendum'!$B23),Application!$G$726:$G$760)</f>
        <v>0</v>
      </c>
      <c r="Q23" s="1263"/>
      <c r="R23" s="1263"/>
      <c r="S23" s="1263"/>
      <c r="T23" s="1263"/>
      <c r="U23" s="1264"/>
      <c r="V23" s="1699">
        <f t="array" ref="V23">SUMPRODUCT((Application!$B$726:$B$760 = 'CalHFA Addendum'!V$18)*(Application!$AC$726:$AC$760 = 'CalHFA Addendum'!$B23),Application!$G$726:$G$760)</f>
        <v>0</v>
      </c>
      <c r="W23" s="1263"/>
      <c r="X23" s="1263"/>
      <c r="Y23" s="1263"/>
      <c r="Z23" s="1263"/>
      <c r="AA23" s="1264"/>
      <c r="AB23" s="1699">
        <f t="array" ref="AB23">SUMPRODUCT((Application!$B$726:$B$760 = 'CalHFA Addendum'!AB$18)*(Application!$AC$726:$AC$760 = 'CalHFA Addendum'!$B23),Application!$G$726:$G$760)</f>
        <v>0</v>
      </c>
      <c r="AC23" s="1263"/>
      <c r="AD23" s="1263"/>
      <c r="AE23" s="1263"/>
      <c r="AF23" s="1263"/>
      <c r="AG23" s="1264"/>
      <c r="AH23" s="1699">
        <f t="array" ref="AH23">SUMPRODUCT((Application!$B$726:$B$760 = 'CalHFA Addendum'!AH$18)*(Application!$AC$726:$AC$760 = 'CalHFA Addendum'!$B23),Application!$G$726:$G$760)</f>
        <v>0</v>
      </c>
      <c r="AI23" s="1263"/>
      <c r="AJ23" s="1263"/>
      <c r="AK23" s="1263"/>
      <c r="AL23" s="1263"/>
      <c r="AM23" s="1264"/>
      <c r="AN23" s="1699">
        <f t="array" ref="AN23">SUMPRODUCT((Application!$B$726:$B$760 = 'CalHFA Addendum'!AN$18)*(Application!$AC$726:$AC$760 = 'CalHFA Addendum'!$B23),Application!$G$726:$G$760)</f>
        <v>0</v>
      </c>
      <c r="AO23" s="1263"/>
      <c r="AP23" s="1263"/>
      <c r="AQ23" s="1263"/>
      <c r="AR23" s="1263"/>
      <c r="AS23" s="1264"/>
      <c r="AT23" s="1683">
        <f t="shared" si="1"/>
        <v>0</v>
      </c>
      <c r="AU23" s="1263"/>
      <c r="AV23" s="1263"/>
      <c r="AW23" s="1263"/>
      <c r="AX23" s="1263"/>
      <c r="AY23" s="1268"/>
      <c r="AZ23" s="1203"/>
      <c r="BA23" s="1203"/>
      <c r="BB23" s="1203"/>
      <c r="BC23" s="1203"/>
      <c r="BD23" s="1203"/>
      <c r="BE23" s="1210"/>
    </row>
    <row r="24" spans="1:58" ht="14.4" customHeight="1">
      <c r="A24" s="1203"/>
      <c r="B24" s="1705">
        <v>0.8</v>
      </c>
      <c r="C24" s="1374"/>
      <c r="D24" s="1374"/>
      <c r="E24" s="1374"/>
      <c r="F24" s="1374"/>
      <c r="G24" s="1374"/>
      <c r="H24" s="1374"/>
      <c r="I24" s="1375"/>
      <c r="J24" s="1699">
        <f t="shared" si="0"/>
        <v>0</v>
      </c>
      <c r="K24" s="1263"/>
      <c r="L24" s="1263"/>
      <c r="M24" s="1263"/>
      <c r="N24" s="1263"/>
      <c r="O24" s="1264"/>
      <c r="P24" s="1699">
        <f t="array" ref="P24">SUMPRODUCT((Application!$B$726:$B$760 = 'CalHFA Addendum'!P$18)*(Application!$AC$726:$AC$760 = 'CalHFA Addendum'!$B24),Application!$G$726:$G$760)</f>
        <v>0</v>
      </c>
      <c r="Q24" s="1263"/>
      <c r="R24" s="1263"/>
      <c r="S24" s="1263"/>
      <c r="T24" s="1263"/>
      <c r="U24" s="1264"/>
      <c r="V24" s="1699">
        <f t="array" ref="V24">SUMPRODUCT((Application!$B$726:$B$760 = 'CalHFA Addendum'!V$18)*(Application!$AC$726:$AC$760 = 'CalHFA Addendum'!$B24),Application!$G$726:$G$760)</f>
        <v>0</v>
      </c>
      <c r="W24" s="1263"/>
      <c r="X24" s="1263"/>
      <c r="Y24" s="1263"/>
      <c r="Z24" s="1263"/>
      <c r="AA24" s="1264"/>
      <c r="AB24" s="1699">
        <f t="array" ref="AB24">SUMPRODUCT((Application!$B$726:$B$760 = 'CalHFA Addendum'!AB$18)*(Application!$AC$726:$AC$760 = 'CalHFA Addendum'!$B24),Application!$G$726:$G$760)</f>
        <v>0</v>
      </c>
      <c r="AC24" s="1263"/>
      <c r="AD24" s="1263"/>
      <c r="AE24" s="1263"/>
      <c r="AF24" s="1263"/>
      <c r="AG24" s="1264"/>
      <c r="AH24" s="1699">
        <f t="array" ref="AH24">SUMPRODUCT((Application!$B$726:$B$760 = 'CalHFA Addendum'!AH$18)*(Application!$AC$726:$AC$760 = 'CalHFA Addendum'!$B24),Application!$G$726:$G$760)</f>
        <v>0</v>
      </c>
      <c r="AI24" s="1263"/>
      <c r="AJ24" s="1263"/>
      <c r="AK24" s="1263"/>
      <c r="AL24" s="1263"/>
      <c r="AM24" s="1264"/>
      <c r="AN24" s="1699">
        <f t="array" ref="AN24">SUMPRODUCT((Application!$B$726:$B$760 = 'CalHFA Addendum'!AN$18)*(Application!$AC$726:$AC$760 = 'CalHFA Addendum'!$B24),Application!$G$726:$G$760)</f>
        <v>0</v>
      </c>
      <c r="AO24" s="1263"/>
      <c r="AP24" s="1263"/>
      <c r="AQ24" s="1263"/>
      <c r="AR24" s="1263"/>
      <c r="AS24" s="1264"/>
      <c r="AT24" s="1683">
        <f t="shared" si="1"/>
        <v>0</v>
      </c>
      <c r="AU24" s="1263"/>
      <c r="AV24" s="1263"/>
      <c r="AW24" s="1263"/>
      <c r="AX24" s="1263"/>
      <c r="AY24" s="1268"/>
      <c r="AZ24" s="1203"/>
      <c r="BA24" s="1203"/>
      <c r="BB24" s="1203"/>
      <c r="BC24" s="1203"/>
      <c r="BD24" s="1203"/>
      <c r="BE24" s="1210"/>
    </row>
    <row r="25" spans="1:58" ht="14.4" customHeight="1">
      <c r="A25" s="1203"/>
      <c r="B25" s="1705">
        <v>0.9</v>
      </c>
      <c r="C25" s="1374"/>
      <c r="D25" s="1374"/>
      <c r="E25" s="1374"/>
      <c r="F25" s="1374"/>
      <c r="G25" s="1374"/>
      <c r="H25" s="1374"/>
      <c r="I25" s="1375"/>
      <c r="J25" s="1706"/>
      <c r="K25" s="1374"/>
      <c r="L25" s="1374"/>
      <c r="M25" s="1374"/>
      <c r="N25" s="1374"/>
      <c r="O25" s="1375"/>
      <c r="P25" s="1706"/>
      <c r="Q25" s="1374"/>
      <c r="R25" s="1374"/>
      <c r="S25" s="1374"/>
      <c r="T25" s="1374"/>
      <c r="U25" s="1375"/>
      <c r="V25" s="1706"/>
      <c r="W25" s="1374"/>
      <c r="X25" s="1374"/>
      <c r="Y25" s="1374"/>
      <c r="Z25" s="1374"/>
      <c r="AA25" s="1375"/>
      <c r="AB25" s="1706"/>
      <c r="AC25" s="1374"/>
      <c r="AD25" s="1374"/>
      <c r="AE25" s="1374"/>
      <c r="AF25" s="1374"/>
      <c r="AG25" s="1375"/>
      <c r="AH25" s="1706"/>
      <c r="AI25" s="1374"/>
      <c r="AJ25" s="1374"/>
      <c r="AK25" s="1374"/>
      <c r="AL25" s="1374"/>
      <c r="AM25" s="1375"/>
      <c r="AN25" s="1706"/>
      <c r="AO25" s="1374"/>
      <c r="AP25" s="1374"/>
      <c r="AQ25" s="1374"/>
      <c r="AR25" s="1374"/>
      <c r="AS25" s="1375"/>
      <c r="AT25" s="1683">
        <f t="shared" si="1"/>
        <v>0</v>
      </c>
      <c r="AU25" s="1263"/>
      <c r="AV25" s="1263"/>
      <c r="AW25" s="1263"/>
      <c r="AX25" s="1263"/>
      <c r="AY25" s="1268"/>
      <c r="AZ25" s="1203"/>
      <c r="BA25" s="1203"/>
      <c r="BB25" s="1203"/>
      <c r="BC25" s="1203"/>
      <c r="BD25" s="1203"/>
      <c r="BE25" s="1210"/>
    </row>
    <row r="26" spans="1:58" ht="14.4" customHeight="1">
      <c r="A26" s="1203"/>
      <c r="B26" s="1705">
        <v>1</v>
      </c>
      <c r="C26" s="1374"/>
      <c r="D26" s="1374"/>
      <c r="E26" s="1374"/>
      <c r="F26" s="1374"/>
      <c r="G26" s="1374"/>
      <c r="H26" s="1374"/>
      <c r="I26" s="1375"/>
      <c r="J26" s="1706"/>
      <c r="K26" s="1374"/>
      <c r="L26" s="1374"/>
      <c r="M26" s="1374"/>
      <c r="N26" s="1374"/>
      <c r="O26" s="1375"/>
      <c r="P26" s="1706"/>
      <c r="Q26" s="1374"/>
      <c r="R26" s="1374"/>
      <c r="S26" s="1374"/>
      <c r="T26" s="1374"/>
      <c r="U26" s="1375"/>
      <c r="V26" s="1706"/>
      <c r="W26" s="1374"/>
      <c r="X26" s="1374"/>
      <c r="Y26" s="1374"/>
      <c r="Z26" s="1374"/>
      <c r="AA26" s="1375"/>
      <c r="AB26" s="1706"/>
      <c r="AC26" s="1374"/>
      <c r="AD26" s="1374"/>
      <c r="AE26" s="1374"/>
      <c r="AF26" s="1374"/>
      <c r="AG26" s="1375"/>
      <c r="AH26" s="1706"/>
      <c r="AI26" s="1374"/>
      <c r="AJ26" s="1374"/>
      <c r="AK26" s="1374"/>
      <c r="AL26" s="1374"/>
      <c r="AM26" s="1375"/>
      <c r="AN26" s="1706"/>
      <c r="AO26" s="1374"/>
      <c r="AP26" s="1374"/>
      <c r="AQ26" s="1374"/>
      <c r="AR26" s="1374"/>
      <c r="AS26" s="1375"/>
      <c r="AT26" s="1683">
        <f t="shared" si="1"/>
        <v>0</v>
      </c>
      <c r="AU26" s="1263"/>
      <c r="AV26" s="1263"/>
      <c r="AW26" s="1263"/>
      <c r="AX26" s="1263"/>
      <c r="AY26" s="1268"/>
      <c r="AZ26" s="1203"/>
      <c r="BA26" s="1203"/>
      <c r="BB26" s="1203"/>
      <c r="BC26" s="1203"/>
      <c r="BD26" s="1203"/>
      <c r="BE26" s="1210"/>
    </row>
    <row r="27" spans="1:58" ht="14.4" customHeight="1">
      <c r="A27" s="1203"/>
      <c r="B27" s="1705">
        <v>1.2</v>
      </c>
      <c r="C27" s="1374"/>
      <c r="D27" s="1374"/>
      <c r="E27" s="1374"/>
      <c r="F27" s="1374"/>
      <c r="G27" s="1374"/>
      <c r="H27" s="1374"/>
      <c r="I27" s="1375"/>
      <c r="J27" s="1706"/>
      <c r="K27" s="1374"/>
      <c r="L27" s="1374"/>
      <c r="M27" s="1374"/>
      <c r="N27" s="1374"/>
      <c r="O27" s="1375"/>
      <c r="P27" s="1706"/>
      <c r="Q27" s="1374"/>
      <c r="R27" s="1374"/>
      <c r="S27" s="1374"/>
      <c r="T27" s="1374"/>
      <c r="U27" s="1375"/>
      <c r="V27" s="1706"/>
      <c r="W27" s="1374"/>
      <c r="X27" s="1374"/>
      <c r="Y27" s="1374"/>
      <c r="Z27" s="1374"/>
      <c r="AA27" s="1375"/>
      <c r="AB27" s="1706"/>
      <c r="AC27" s="1374"/>
      <c r="AD27" s="1374"/>
      <c r="AE27" s="1374"/>
      <c r="AF27" s="1374"/>
      <c r="AG27" s="1375"/>
      <c r="AH27" s="1706"/>
      <c r="AI27" s="1374"/>
      <c r="AJ27" s="1374"/>
      <c r="AK27" s="1374"/>
      <c r="AL27" s="1374"/>
      <c r="AM27" s="1375"/>
      <c r="AN27" s="1706"/>
      <c r="AO27" s="1374"/>
      <c r="AP27" s="1374"/>
      <c r="AQ27" s="1374"/>
      <c r="AR27" s="1374"/>
      <c r="AS27" s="1375"/>
      <c r="AT27" s="1683">
        <f t="shared" si="1"/>
        <v>0</v>
      </c>
      <c r="AU27" s="1263"/>
      <c r="AV27" s="1263"/>
      <c r="AW27" s="1263"/>
      <c r="AX27" s="1263"/>
      <c r="AY27" s="1268"/>
      <c r="AZ27" s="1203"/>
      <c r="BA27" s="1203"/>
      <c r="BB27" s="1203"/>
      <c r="BC27" s="1203"/>
      <c r="BD27" s="1203"/>
      <c r="BE27" s="1210"/>
    </row>
    <row r="28" spans="1:58" ht="15" customHeight="1" thickBot="1">
      <c r="A28" s="1203"/>
      <c r="B28" s="1886" t="s">
        <v>1988</v>
      </c>
      <c r="C28" s="1685"/>
      <c r="D28" s="1685"/>
      <c r="E28" s="1685"/>
      <c r="F28" s="1685"/>
      <c r="G28" s="1685"/>
      <c r="H28" s="1685"/>
      <c r="I28" s="1279"/>
      <c r="J28" s="1697">
        <f>SUM(P28:AS28)</f>
        <v>1</v>
      </c>
      <c r="K28" s="1685"/>
      <c r="L28" s="1685"/>
      <c r="M28" s="1685"/>
      <c r="N28" s="1685"/>
      <c r="O28" s="1279"/>
      <c r="P28" s="1697">
        <f>_xlfn.IFNA(VLOOKUP(P$18,Application!$J$781:$S$784,6,FALSE), 0)</f>
        <v>0</v>
      </c>
      <c r="Q28" s="1685"/>
      <c r="R28" s="1685"/>
      <c r="S28" s="1685"/>
      <c r="T28" s="1685"/>
      <c r="U28" s="1279"/>
      <c r="V28" s="1697">
        <f>_xlfn.IFNA(VLOOKUP(V$18,Application!$J$781:$S$784,6,FALSE), 0)</f>
        <v>0</v>
      </c>
      <c r="W28" s="1685"/>
      <c r="X28" s="1685"/>
      <c r="Y28" s="1685"/>
      <c r="Z28" s="1685"/>
      <c r="AA28" s="1279"/>
      <c r="AB28" s="1697">
        <f>_xlfn.IFNA(VLOOKUP(AB$18,Application!$J$781:$S$784,6,FALSE), 0)</f>
        <v>1</v>
      </c>
      <c r="AC28" s="1685"/>
      <c r="AD28" s="1685"/>
      <c r="AE28" s="1685"/>
      <c r="AF28" s="1685"/>
      <c r="AG28" s="1279"/>
      <c r="AH28" s="1697">
        <f>_xlfn.IFNA(VLOOKUP(AH$18,Application!$J$781:$S$784,6,FALSE), 0)</f>
        <v>0</v>
      </c>
      <c r="AI28" s="1685"/>
      <c r="AJ28" s="1685"/>
      <c r="AK28" s="1685"/>
      <c r="AL28" s="1685"/>
      <c r="AM28" s="1279"/>
      <c r="AN28" s="1697">
        <f>_xlfn.IFNA(VLOOKUP(AN$18,Application!$J$781:$S$784,6,FALSE), 0)</f>
        <v>0</v>
      </c>
      <c r="AO28" s="1685"/>
      <c r="AP28" s="1685"/>
      <c r="AQ28" s="1685"/>
      <c r="AR28" s="1685"/>
      <c r="AS28" s="1279"/>
      <c r="AT28" s="1888">
        <f t="shared" si="1"/>
        <v>1.6949152542372881E-2</v>
      </c>
      <c r="AU28" s="1685"/>
      <c r="AV28" s="1685"/>
      <c r="AW28" s="1685"/>
      <c r="AX28" s="1685"/>
      <c r="AY28" s="1266"/>
      <c r="AZ28" s="1203"/>
      <c r="BA28" s="1203"/>
      <c r="BB28" s="1203"/>
      <c r="BC28" s="1203"/>
      <c r="BD28" s="1203"/>
      <c r="BE28" s="1210"/>
    </row>
    <row r="29" spans="1:58" ht="15" customHeight="1" thickBot="1">
      <c r="A29" s="1203"/>
      <c r="B29" s="1760" t="s">
        <v>42</v>
      </c>
      <c r="C29" s="1688"/>
      <c r="D29" s="1688"/>
      <c r="E29" s="1688"/>
      <c r="F29" s="1688"/>
      <c r="G29" s="1688"/>
      <c r="H29" s="1688"/>
      <c r="I29" s="1689"/>
      <c r="J29" s="1687">
        <f>SUM(J19:O28)</f>
        <v>59</v>
      </c>
      <c r="K29" s="1688"/>
      <c r="L29" s="1688"/>
      <c r="M29" s="1688"/>
      <c r="N29" s="1688"/>
      <c r="O29" s="1689"/>
      <c r="P29" s="1687">
        <f>SUM(P19:U28)</f>
        <v>0</v>
      </c>
      <c r="Q29" s="1688"/>
      <c r="R29" s="1688"/>
      <c r="S29" s="1688"/>
      <c r="T29" s="1688"/>
      <c r="U29" s="1689"/>
      <c r="V29" s="1687">
        <f>SUM(V19:AA28)</f>
        <v>10</v>
      </c>
      <c r="W29" s="1688"/>
      <c r="X29" s="1688"/>
      <c r="Y29" s="1688"/>
      <c r="Z29" s="1688"/>
      <c r="AA29" s="1689"/>
      <c r="AB29" s="1687">
        <f>SUM(AB19:AG28)</f>
        <v>18</v>
      </c>
      <c r="AC29" s="1688"/>
      <c r="AD29" s="1688"/>
      <c r="AE29" s="1688"/>
      <c r="AF29" s="1688"/>
      <c r="AG29" s="1689"/>
      <c r="AH29" s="1687">
        <f>SUM(AH19:AM28)</f>
        <v>25</v>
      </c>
      <c r="AI29" s="1688"/>
      <c r="AJ29" s="1688"/>
      <c r="AK29" s="1688"/>
      <c r="AL29" s="1688"/>
      <c r="AM29" s="1689"/>
      <c r="AN29" s="1687">
        <f>SUM(AN19:AS28)</f>
        <v>6</v>
      </c>
      <c r="AO29" s="1688"/>
      <c r="AP29" s="1688"/>
      <c r="AQ29" s="1688"/>
      <c r="AR29" s="1688"/>
      <c r="AS29" s="1689"/>
      <c r="AT29" s="1881">
        <f t="shared" si="1"/>
        <v>1</v>
      </c>
      <c r="AU29" s="1688"/>
      <c r="AV29" s="1688"/>
      <c r="AW29" s="1688"/>
      <c r="AX29" s="1688"/>
      <c r="AY29" s="1808"/>
      <c r="AZ29" s="1203"/>
      <c r="BA29" s="1203"/>
      <c r="BB29" s="1203"/>
      <c r="BC29" s="1203"/>
      <c r="BD29" s="1203"/>
      <c r="BE29" s="1210"/>
    </row>
    <row r="30" spans="1:58" ht="15" customHeight="1" thickBot="1">
      <c r="A30" s="1202"/>
      <c r="B30" s="1203"/>
      <c r="C30" s="1203"/>
      <c r="D30" s="1203"/>
      <c r="E30" s="1203"/>
      <c r="F30" s="1203"/>
      <c r="G30" s="1203"/>
      <c r="H30" s="1203"/>
      <c r="I30" s="1203"/>
      <c r="J30" s="1203"/>
      <c r="K30" s="1203"/>
      <c r="L30" s="1203"/>
      <c r="M30" s="1203"/>
      <c r="N30" s="1203"/>
      <c r="O30" s="1203"/>
      <c r="P30" s="1203"/>
      <c r="Q30" s="1203"/>
      <c r="R30" s="1203"/>
      <c r="S30" s="1203"/>
      <c r="T30" s="1203"/>
      <c r="U30" s="1203"/>
      <c r="V30" s="1203"/>
      <c r="W30" s="1203"/>
      <c r="X30" s="1203"/>
      <c r="Y30" s="1203"/>
      <c r="Z30" s="1203"/>
      <c r="AA30" s="1203"/>
      <c r="AB30" s="1203"/>
      <c r="AC30" s="1203"/>
      <c r="AD30" s="1203"/>
      <c r="AE30" s="1203"/>
      <c r="AF30" s="1203"/>
      <c r="AG30" s="1203"/>
      <c r="AH30" s="1203"/>
      <c r="AI30" s="1203"/>
      <c r="AJ30" s="1203"/>
      <c r="AK30" s="1203"/>
      <c r="AL30" s="1203"/>
      <c r="AM30" s="1203"/>
      <c r="AN30" s="1203"/>
      <c r="AO30" s="1203"/>
      <c r="AP30" s="1203"/>
      <c r="AQ30" s="1203"/>
      <c r="AR30" s="1203"/>
      <c r="AS30" s="1203"/>
      <c r="AT30" s="1203"/>
      <c r="AU30" s="1203"/>
      <c r="AV30" s="1203"/>
      <c r="AW30" s="1203"/>
      <c r="AX30" s="1203"/>
      <c r="AY30" s="1203"/>
      <c r="AZ30" s="1203"/>
      <c r="BA30" s="1203"/>
      <c r="BB30" s="1203"/>
      <c r="BC30" s="1203"/>
      <c r="BD30" s="1203"/>
      <c r="BE30" s="1210"/>
    </row>
    <row r="31" spans="1:58" ht="15" customHeight="1" thickBot="1">
      <c r="A31" s="1203"/>
      <c r="B31" s="1904" t="s">
        <v>1989</v>
      </c>
      <c r="C31" s="1746"/>
      <c r="D31" s="1746"/>
      <c r="E31" s="1746"/>
      <c r="F31" s="1746"/>
      <c r="G31" s="1746"/>
      <c r="H31" s="1746"/>
      <c r="I31" s="1746"/>
      <c r="J31" s="1746"/>
      <c r="K31" s="1746"/>
      <c r="L31" s="1746"/>
      <c r="M31" s="1746"/>
      <c r="N31" s="1746"/>
      <c r="O31" s="1746"/>
      <c r="P31" s="1746"/>
      <c r="Q31" s="1746"/>
      <c r="R31" s="1746"/>
      <c r="S31" s="1746"/>
      <c r="T31" s="1746"/>
      <c r="U31" s="1746"/>
      <c r="V31" s="1746"/>
      <c r="W31" s="1746"/>
      <c r="X31" s="1746"/>
      <c r="Y31" s="1746"/>
      <c r="Z31" s="1746"/>
      <c r="AA31" s="1746"/>
      <c r="AB31" s="1746"/>
      <c r="AC31" s="1746"/>
      <c r="AD31" s="1746"/>
      <c r="AE31" s="1746"/>
      <c r="AF31" s="1746"/>
      <c r="AG31" s="1746"/>
      <c r="AH31" s="1746"/>
      <c r="AI31" s="1746"/>
      <c r="AJ31" s="1746"/>
      <c r="AK31" s="1746"/>
      <c r="AL31" s="1746"/>
      <c r="AM31" s="1746"/>
      <c r="AN31" s="1746"/>
      <c r="AO31" s="1746"/>
      <c r="AP31" s="1746"/>
      <c r="AQ31" s="1746"/>
      <c r="AR31" s="1746"/>
      <c r="AS31" s="1746"/>
      <c r="AT31" s="1746"/>
      <c r="AU31" s="1746"/>
      <c r="AV31" s="1746"/>
      <c r="AW31" s="1746"/>
      <c r="AX31" s="1746"/>
      <c r="AY31" s="1746"/>
      <c r="AZ31" s="1746"/>
      <c r="BA31" s="1746"/>
      <c r="BB31" s="1746"/>
      <c r="BC31" s="1746"/>
      <c r="BD31" s="1747"/>
      <c r="BE31" s="1210"/>
    </row>
    <row r="32" spans="1:58" ht="15" customHeight="1" thickBot="1">
      <c r="A32" s="1203"/>
      <c r="B32" s="1790" t="s">
        <v>1990</v>
      </c>
      <c r="C32" s="1702"/>
      <c r="D32" s="1702"/>
      <c r="E32" s="1702"/>
      <c r="F32" s="1702"/>
      <c r="G32" s="1702"/>
      <c r="H32" s="1702"/>
      <c r="I32" s="1383"/>
      <c r="J32" s="1727" t="s">
        <v>1991</v>
      </c>
      <c r="K32" s="1702"/>
      <c r="L32" s="1702"/>
      <c r="M32" s="1383"/>
      <c r="N32" s="1727" t="s">
        <v>1992</v>
      </c>
      <c r="O32" s="1702"/>
      <c r="P32" s="1702"/>
      <c r="Q32" s="1383"/>
      <c r="R32" s="1908" t="s">
        <v>1993</v>
      </c>
      <c r="S32" s="1746"/>
      <c r="T32" s="1746"/>
      <c r="U32" s="1746"/>
      <c r="V32" s="1746"/>
      <c r="W32" s="1746"/>
      <c r="X32" s="1746"/>
      <c r="Y32" s="1746"/>
      <c r="Z32" s="1746"/>
      <c r="AA32" s="1746"/>
      <c r="AB32" s="1746"/>
      <c r="AC32" s="1746"/>
      <c r="AD32" s="1746"/>
      <c r="AE32" s="1746"/>
      <c r="AF32" s="1746"/>
      <c r="AG32" s="1746"/>
      <c r="AH32" s="1746"/>
      <c r="AI32" s="1746"/>
      <c r="AJ32" s="1746"/>
      <c r="AK32" s="1746"/>
      <c r="AL32" s="1746"/>
      <c r="AM32" s="1746"/>
      <c r="AN32" s="1746"/>
      <c r="AO32" s="1746"/>
      <c r="AP32" s="1746"/>
      <c r="AQ32" s="1746"/>
      <c r="AR32" s="1746"/>
      <c r="AS32" s="1746"/>
      <c r="AT32" s="1746"/>
      <c r="AU32" s="1746"/>
      <c r="AV32" s="1746"/>
      <c r="AW32" s="1746"/>
      <c r="AX32" s="1746"/>
      <c r="AY32" s="1746"/>
      <c r="AZ32" s="1746"/>
      <c r="BA32" s="1746"/>
      <c r="BB32" s="1746"/>
      <c r="BC32" s="1746"/>
      <c r="BD32" s="1747"/>
      <c r="BE32" s="1210"/>
    </row>
    <row r="33" spans="1:58" ht="15" customHeight="1">
      <c r="A33" s="1203"/>
      <c r="B33" s="1759"/>
      <c r="C33" s="1702"/>
      <c r="D33" s="1702"/>
      <c r="E33" s="1702"/>
      <c r="F33" s="1702"/>
      <c r="G33" s="1702"/>
      <c r="H33" s="1702"/>
      <c r="I33" s="1383"/>
      <c r="J33" s="1403"/>
      <c r="K33" s="1702"/>
      <c r="L33" s="1702"/>
      <c r="M33" s="1383"/>
      <c r="N33" s="1403"/>
      <c r="O33" s="1702"/>
      <c r="P33" s="1702"/>
      <c r="Q33" s="1383"/>
      <c r="R33" s="1912" t="s">
        <v>1994</v>
      </c>
      <c r="S33" s="1743"/>
      <c r="T33" s="1743"/>
      <c r="U33" s="1743"/>
      <c r="V33" s="1743"/>
      <c r="W33" s="1743"/>
      <c r="X33" s="1743"/>
      <c r="Y33" s="1743"/>
      <c r="Z33" s="1743"/>
      <c r="AA33" s="1743"/>
      <c r="AB33" s="1743"/>
      <c r="AC33" s="1743"/>
      <c r="AD33" s="1743"/>
      <c r="AE33" s="1743"/>
      <c r="AF33" s="1743"/>
      <c r="AG33" s="1743"/>
      <c r="AH33" s="1743"/>
      <c r="AI33" s="1743"/>
      <c r="AJ33" s="1743"/>
      <c r="AK33" s="1743"/>
      <c r="AL33" s="1743"/>
      <c r="AM33" s="1743"/>
      <c r="AN33" s="1743"/>
      <c r="AO33" s="1743"/>
      <c r="AP33" s="1743"/>
      <c r="AQ33" s="1743"/>
      <c r="AR33" s="1743"/>
      <c r="AS33" s="1743"/>
      <c r="AT33" s="1743"/>
      <c r="AU33" s="1743"/>
      <c r="AV33" s="1743"/>
      <c r="AW33" s="1743"/>
      <c r="AX33" s="1743"/>
      <c r="AY33" s="1743"/>
      <c r="AZ33" s="1743"/>
      <c r="BA33" s="1743"/>
      <c r="BB33" s="1743"/>
      <c r="BC33" s="1743"/>
      <c r="BD33" s="1744"/>
      <c r="BE33" s="1210"/>
    </row>
    <row r="34" spans="1:58" ht="15.75" customHeight="1" thickBot="1">
      <c r="A34" s="1203"/>
      <c r="B34" s="1759"/>
      <c r="C34" s="1702"/>
      <c r="D34" s="1702"/>
      <c r="E34" s="1702"/>
      <c r="F34" s="1702"/>
      <c r="G34" s="1702"/>
      <c r="H34" s="1702"/>
      <c r="I34" s="1383"/>
      <c r="J34" s="1403"/>
      <c r="K34" s="1702"/>
      <c r="L34" s="1702"/>
      <c r="M34" s="1383"/>
      <c r="N34" s="1403"/>
      <c r="O34" s="1702"/>
      <c r="P34" s="1702"/>
      <c r="Q34" s="1383"/>
      <c r="R34" s="1807"/>
      <c r="S34" s="1688"/>
      <c r="T34" s="1688"/>
      <c r="U34" s="1688"/>
      <c r="V34" s="1688"/>
      <c r="W34" s="1688"/>
      <c r="X34" s="1688"/>
      <c r="Y34" s="1688"/>
      <c r="Z34" s="1688"/>
      <c r="AA34" s="1688"/>
      <c r="AB34" s="1688"/>
      <c r="AC34" s="1688"/>
      <c r="AD34" s="1688"/>
      <c r="AE34" s="1688"/>
      <c r="AF34" s="1688"/>
      <c r="AG34" s="1688"/>
      <c r="AH34" s="1688"/>
      <c r="AI34" s="1688"/>
      <c r="AJ34" s="1688"/>
      <c r="AK34" s="1688"/>
      <c r="AL34" s="1688"/>
      <c r="AM34" s="1688"/>
      <c r="AN34" s="1688"/>
      <c r="AO34" s="1688"/>
      <c r="AP34" s="1688"/>
      <c r="AQ34" s="1688"/>
      <c r="AR34" s="1688"/>
      <c r="AS34" s="1688"/>
      <c r="AT34" s="1688"/>
      <c r="AU34" s="1688"/>
      <c r="AV34" s="1688"/>
      <c r="AW34" s="1688"/>
      <c r="AX34" s="1688"/>
      <c r="AY34" s="1688"/>
      <c r="AZ34" s="1688"/>
      <c r="BA34" s="1688"/>
      <c r="BB34" s="1688"/>
      <c r="BC34" s="1688"/>
      <c r="BD34" s="1808"/>
      <c r="BE34" s="1210"/>
    </row>
    <row r="35" spans="1:58" ht="15.75" customHeight="1">
      <c r="A35" s="1203"/>
      <c r="B35" s="1754"/>
      <c r="C35" s="1405"/>
      <c r="D35" s="1405"/>
      <c r="E35" s="1405"/>
      <c r="F35" s="1405"/>
      <c r="G35" s="1405"/>
      <c r="H35" s="1405"/>
      <c r="I35" s="1296"/>
      <c r="J35" s="1404"/>
      <c r="K35" s="1405"/>
      <c r="L35" s="1405"/>
      <c r="M35" s="1296"/>
      <c r="N35" s="1404"/>
      <c r="O35" s="1405"/>
      <c r="P35" s="1405"/>
      <c r="Q35" s="1296"/>
      <c r="R35" s="1772">
        <v>0.3</v>
      </c>
      <c r="S35" s="1294"/>
      <c r="T35" s="1294"/>
      <c r="U35" s="1388"/>
      <c r="V35" s="1772">
        <v>0.4</v>
      </c>
      <c r="W35" s="1294"/>
      <c r="X35" s="1294"/>
      <c r="Y35" s="1388"/>
      <c r="Z35" s="1772">
        <v>0.5</v>
      </c>
      <c r="AA35" s="1294"/>
      <c r="AB35" s="1294"/>
      <c r="AC35" s="1388"/>
      <c r="AD35" s="1772">
        <v>0.6</v>
      </c>
      <c r="AE35" s="1294"/>
      <c r="AF35" s="1294"/>
      <c r="AG35" s="1388"/>
      <c r="AH35" s="1772">
        <v>0.7</v>
      </c>
      <c r="AI35" s="1294"/>
      <c r="AJ35" s="1294"/>
      <c r="AK35" s="1388"/>
      <c r="AL35" s="1772">
        <v>0.8</v>
      </c>
      <c r="AM35" s="1294"/>
      <c r="AN35" s="1294"/>
      <c r="AO35" s="1388"/>
      <c r="AP35" s="1879">
        <v>1.2</v>
      </c>
      <c r="AQ35" s="1294"/>
      <c r="AR35" s="1388"/>
      <c r="AS35" s="1883" t="s">
        <v>1995</v>
      </c>
      <c r="AT35" s="1405"/>
      <c r="AU35" s="1405"/>
      <c r="AV35" s="1405"/>
      <c r="AW35" s="1405"/>
      <c r="AX35" s="1296"/>
      <c r="AY35" s="1703" t="s">
        <v>1996</v>
      </c>
      <c r="AZ35" s="1405"/>
      <c r="BA35" s="1405"/>
      <c r="BB35" s="1405"/>
      <c r="BC35" s="1405"/>
      <c r="BD35" s="1704"/>
      <c r="BE35" s="1210"/>
    </row>
    <row r="36" spans="1:58" ht="15.75" customHeight="1">
      <c r="A36" s="1203"/>
      <c r="B36" s="1700" t="s">
        <v>1997</v>
      </c>
      <c r="C36" s="1374"/>
      <c r="D36" s="1374"/>
      <c r="E36" s="1374"/>
      <c r="F36" s="1374"/>
      <c r="G36" s="1374"/>
      <c r="H36" s="1374"/>
      <c r="I36" s="1375"/>
      <c r="J36" s="1696" t="s">
        <v>1998</v>
      </c>
      <c r="K36" s="1374"/>
      <c r="L36" s="1374"/>
      <c r="M36" s="1375"/>
      <c r="N36" s="1696">
        <v>55</v>
      </c>
      <c r="O36" s="1374"/>
      <c r="P36" s="1374"/>
      <c r="Q36" s="1375"/>
      <c r="R36" s="1695"/>
      <c r="S36" s="1374"/>
      <c r="T36" s="1374"/>
      <c r="U36" s="1375"/>
      <c r="V36" s="1695"/>
      <c r="W36" s="1374"/>
      <c r="X36" s="1374"/>
      <c r="Y36" s="1375"/>
      <c r="Z36" s="1695"/>
      <c r="AA36" s="1374"/>
      <c r="AB36" s="1374"/>
      <c r="AC36" s="1375"/>
      <c r="AD36" s="1695"/>
      <c r="AE36" s="1374"/>
      <c r="AF36" s="1374"/>
      <c r="AG36" s="1375"/>
      <c r="AH36" s="1695"/>
      <c r="AI36" s="1374"/>
      <c r="AJ36" s="1374"/>
      <c r="AK36" s="1375"/>
      <c r="AL36" s="1695"/>
      <c r="AM36" s="1374"/>
      <c r="AN36" s="1374"/>
      <c r="AO36" s="1375"/>
      <c r="AP36" s="1695"/>
      <c r="AQ36" s="1374"/>
      <c r="AR36" s="1375"/>
      <c r="AS36" s="1698">
        <f t="shared" ref="AS36:AS47" si="2">SUM(R36:AR36)</f>
        <v>0</v>
      </c>
      <c r="AT36" s="1263"/>
      <c r="AU36" s="1263"/>
      <c r="AV36" s="1263"/>
      <c r="AW36" s="1263"/>
      <c r="AX36" s="1264"/>
      <c r="AY36" s="1692">
        <f t="shared" ref="AY36:AY47" si="3">AS36/$J$29</f>
        <v>0</v>
      </c>
      <c r="AZ36" s="1263"/>
      <c r="BA36" s="1263"/>
      <c r="BB36" s="1263"/>
      <c r="BC36" s="1263"/>
      <c r="BD36" s="1268"/>
      <c r="BE36" s="1210"/>
    </row>
    <row r="37" spans="1:58" ht="15.75" customHeight="1">
      <c r="A37" s="1203"/>
      <c r="B37" s="1700" t="s">
        <v>1999</v>
      </c>
      <c r="C37" s="1374"/>
      <c r="D37" s="1374"/>
      <c r="E37" s="1374"/>
      <c r="F37" s="1374"/>
      <c r="G37" s="1374"/>
      <c r="H37" s="1374"/>
      <c r="I37" s="1375"/>
      <c r="J37" s="1696" t="s">
        <v>2000</v>
      </c>
      <c r="K37" s="1374"/>
      <c r="L37" s="1374"/>
      <c r="M37" s="1375"/>
      <c r="N37" s="1696">
        <v>55</v>
      </c>
      <c r="O37" s="1374"/>
      <c r="P37" s="1374"/>
      <c r="Q37" s="1375"/>
      <c r="R37" s="1695"/>
      <c r="S37" s="1374"/>
      <c r="T37" s="1374"/>
      <c r="U37" s="1375"/>
      <c r="V37" s="1695"/>
      <c r="W37" s="1374"/>
      <c r="X37" s="1374"/>
      <c r="Y37" s="1375"/>
      <c r="Z37" s="1695"/>
      <c r="AA37" s="1374"/>
      <c r="AB37" s="1374"/>
      <c r="AC37" s="1375"/>
      <c r="AD37" s="1695"/>
      <c r="AE37" s="1374"/>
      <c r="AF37" s="1374"/>
      <c r="AG37" s="1375"/>
      <c r="AH37" s="1695"/>
      <c r="AI37" s="1374"/>
      <c r="AJ37" s="1374"/>
      <c r="AK37" s="1375"/>
      <c r="AL37" s="1695"/>
      <c r="AM37" s="1374"/>
      <c r="AN37" s="1374"/>
      <c r="AO37" s="1375"/>
      <c r="AP37" s="1695"/>
      <c r="AQ37" s="1374"/>
      <c r="AR37" s="1375"/>
      <c r="AS37" s="1698">
        <f t="shared" si="2"/>
        <v>0</v>
      </c>
      <c r="AT37" s="1263"/>
      <c r="AU37" s="1263"/>
      <c r="AV37" s="1263"/>
      <c r="AW37" s="1263"/>
      <c r="AX37" s="1264"/>
      <c r="AY37" s="1692">
        <f t="shared" si="3"/>
        <v>0</v>
      </c>
      <c r="AZ37" s="1263"/>
      <c r="BA37" s="1263"/>
      <c r="BB37" s="1263"/>
      <c r="BC37" s="1263"/>
      <c r="BD37" s="1268"/>
      <c r="BE37" s="1210"/>
    </row>
    <row r="38" spans="1:58" ht="15.75" customHeight="1">
      <c r="A38" s="1203"/>
      <c r="B38" s="1700" t="s">
        <v>2001</v>
      </c>
      <c r="C38" s="1374"/>
      <c r="D38" s="1374"/>
      <c r="E38" s="1374"/>
      <c r="F38" s="1374"/>
      <c r="G38" s="1374"/>
      <c r="H38" s="1374"/>
      <c r="I38" s="1375"/>
      <c r="J38" s="1696" t="s">
        <v>2002</v>
      </c>
      <c r="K38" s="1374"/>
      <c r="L38" s="1374"/>
      <c r="M38" s="1375"/>
      <c r="N38" s="1696">
        <v>55</v>
      </c>
      <c r="O38" s="1374"/>
      <c r="P38" s="1374"/>
      <c r="Q38" s="1375"/>
      <c r="R38" s="1695"/>
      <c r="S38" s="1374"/>
      <c r="T38" s="1374"/>
      <c r="U38" s="1375"/>
      <c r="V38" s="1695"/>
      <c r="W38" s="1374"/>
      <c r="X38" s="1374"/>
      <c r="Y38" s="1375"/>
      <c r="Z38" s="1695"/>
      <c r="AA38" s="1374"/>
      <c r="AB38" s="1374"/>
      <c r="AC38" s="1375"/>
      <c r="AD38" s="1695"/>
      <c r="AE38" s="1374"/>
      <c r="AF38" s="1374"/>
      <c r="AG38" s="1375"/>
      <c r="AH38" s="1695"/>
      <c r="AI38" s="1374"/>
      <c r="AJ38" s="1374"/>
      <c r="AK38" s="1375"/>
      <c r="AL38" s="1695"/>
      <c r="AM38" s="1374"/>
      <c r="AN38" s="1374"/>
      <c r="AO38" s="1375"/>
      <c r="AP38" s="1695"/>
      <c r="AQ38" s="1374"/>
      <c r="AR38" s="1375"/>
      <c r="AS38" s="1698">
        <f t="shared" si="2"/>
        <v>0</v>
      </c>
      <c r="AT38" s="1263"/>
      <c r="AU38" s="1263"/>
      <c r="AV38" s="1263"/>
      <c r="AW38" s="1263"/>
      <c r="AX38" s="1264"/>
      <c r="AY38" s="1692">
        <f t="shared" si="3"/>
        <v>0</v>
      </c>
      <c r="AZ38" s="1263"/>
      <c r="BA38" s="1263"/>
      <c r="BB38" s="1263"/>
      <c r="BC38" s="1263"/>
      <c r="BD38" s="1268"/>
      <c r="BE38" s="1210"/>
    </row>
    <row r="39" spans="1:58" ht="15.75" customHeight="1">
      <c r="A39" s="1203"/>
      <c r="B39" s="1700" t="s">
        <v>2003</v>
      </c>
      <c r="C39" s="1374"/>
      <c r="D39" s="1374"/>
      <c r="E39" s="1374"/>
      <c r="F39" s="1374"/>
      <c r="G39" s="1374"/>
      <c r="H39" s="1374"/>
      <c r="I39" s="1375"/>
      <c r="J39" s="1696"/>
      <c r="K39" s="1374"/>
      <c r="L39" s="1374"/>
      <c r="M39" s="1375"/>
      <c r="N39" s="1696"/>
      <c r="O39" s="1374"/>
      <c r="P39" s="1374"/>
      <c r="Q39" s="1375"/>
      <c r="R39" s="1695"/>
      <c r="S39" s="1374"/>
      <c r="T39" s="1374"/>
      <c r="U39" s="1375"/>
      <c r="V39" s="1695"/>
      <c r="W39" s="1374"/>
      <c r="X39" s="1374"/>
      <c r="Y39" s="1375"/>
      <c r="Z39" s="1695"/>
      <c r="AA39" s="1374"/>
      <c r="AB39" s="1374"/>
      <c r="AC39" s="1375"/>
      <c r="AD39" s="1695"/>
      <c r="AE39" s="1374"/>
      <c r="AF39" s="1374"/>
      <c r="AG39" s="1375"/>
      <c r="AH39" s="1695"/>
      <c r="AI39" s="1374"/>
      <c r="AJ39" s="1374"/>
      <c r="AK39" s="1375"/>
      <c r="AL39" s="1695"/>
      <c r="AM39" s="1374"/>
      <c r="AN39" s="1374"/>
      <c r="AO39" s="1375"/>
      <c r="AP39" s="1695"/>
      <c r="AQ39" s="1374"/>
      <c r="AR39" s="1375"/>
      <c r="AS39" s="1698">
        <f t="shared" si="2"/>
        <v>0</v>
      </c>
      <c r="AT39" s="1263"/>
      <c r="AU39" s="1263"/>
      <c r="AV39" s="1263"/>
      <c r="AW39" s="1263"/>
      <c r="AX39" s="1264"/>
      <c r="AY39" s="1692">
        <f t="shared" si="3"/>
        <v>0</v>
      </c>
      <c r="AZ39" s="1263"/>
      <c r="BA39" s="1263"/>
      <c r="BB39" s="1263"/>
      <c r="BC39" s="1263"/>
      <c r="BD39" s="1268"/>
      <c r="BE39" s="1210"/>
    </row>
    <row r="40" spans="1:58" ht="15.75" customHeight="1">
      <c r="A40" s="1203"/>
      <c r="B40" s="1700" t="s">
        <v>2003</v>
      </c>
      <c r="C40" s="1374"/>
      <c r="D40" s="1374"/>
      <c r="E40" s="1374"/>
      <c r="F40" s="1374"/>
      <c r="G40" s="1374"/>
      <c r="H40" s="1374"/>
      <c r="I40" s="1375"/>
      <c r="J40" s="1696"/>
      <c r="K40" s="1374"/>
      <c r="L40" s="1374"/>
      <c r="M40" s="1375"/>
      <c r="N40" s="1696"/>
      <c r="O40" s="1374"/>
      <c r="P40" s="1374"/>
      <c r="Q40" s="1375"/>
      <c r="R40" s="1695"/>
      <c r="S40" s="1374"/>
      <c r="T40" s="1374"/>
      <c r="U40" s="1375"/>
      <c r="V40" s="1695"/>
      <c r="W40" s="1374"/>
      <c r="X40" s="1374"/>
      <c r="Y40" s="1375"/>
      <c r="Z40" s="1695"/>
      <c r="AA40" s="1374"/>
      <c r="AB40" s="1374"/>
      <c r="AC40" s="1375"/>
      <c r="AD40" s="1695"/>
      <c r="AE40" s="1374"/>
      <c r="AF40" s="1374"/>
      <c r="AG40" s="1375"/>
      <c r="AH40" s="1695"/>
      <c r="AI40" s="1374"/>
      <c r="AJ40" s="1374"/>
      <c r="AK40" s="1375"/>
      <c r="AL40" s="1695"/>
      <c r="AM40" s="1374"/>
      <c r="AN40" s="1374"/>
      <c r="AO40" s="1375"/>
      <c r="AP40" s="1695"/>
      <c r="AQ40" s="1374"/>
      <c r="AR40" s="1375"/>
      <c r="AS40" s="1698">
        <f t="shared" si="2"/>
        <v>0</v>
      </c>
      <c r="AT40" s="1263"/>
      <c r="AU40" s="1263"/>
      <c r="AV40" s="1263"/>
      <c r="AW40" s="1263"/>
      <c r="AX40" s="1264"/>
      <c r="AY40" s="1692">
        <f t="shared" si="3"/>
        <v>0</v>
      </c>
      <c r="AZ40" s="1263"/>
      <c r="BA40" s="1263"/>
      <c r="BB40" s="1263"/>
      <c r="BC40" s="1263"/>
      <c r="BD40" s="1268"/>
      <c r="BE40" s="1210"/>
    </row>
    <row r="41" spans="1:58" ht="15.75" customHeight="1">
      <c r="A41" s="1203"/>
      <c r="B41" s="1700" t="s">
        <v>2004</v>
      </c>
      <c r="C41" s="1374"/>
      <c r="D41" s="1374"/>
      <c r="E41" s="1374"/>
      <c r="F41" s="1374"/>
      <c r="G41" s="1374"/>
      <c r="H41" s="1374"/>
      <c r="I41" s="1375"/>
      <c r="J41" s="1696"/>
      <c r="K41" s="1374"/>
      <c r="L41" s="1374"/>
      <c r="M41" s="1375"/>
      <c r="N41" s="1696"/>
      <c r="O41" s="1374"/>
      <c r="P41" s="1374"/>
      <c r="Q41" s="1375"/>
      <c r="R41" s="1695"/>
      <c r="S41" s="1374"/>
      <c r="T41" s="1374"/>
      <c r="U41" s="1375"/>
      <c r="V41" s="1695"/>
      <c r="W41" s="1374"/>
      <c r="X41" s="1374"/>
      <c r="Y41" s="1375"/>
      <c r="Z41" s="1695"/>
      <c r="AA41" s="1374"/>
      <c r="AB41" s="1374"/>
      <c r="AC41" s="1375"/>
      <c r="AD41" s="1695"/>
      <c r="AE41" s="1374"/>
      <c r="AF41" s="1374"/>
      <c r="AG41" s="1375"/>
      <c r="AH41" s="1695"/>
      <c r="AI41" s="1374"/>
      <c r="AJ41" s="1374"/>
      <c r="AK41" s="1375"/>
      <c r="AL41" s="1695"/>
      <c r="AM41" s="1374"/>
      <c r="AN41" s="1374"/>
      <c r="AO41" s="1375"/>
      <c r="AP41" s="1695"/>
      <c r="AQ41" s="1374"/>
      <c r="AR41" s="1375"/>
      <c r="AS41" s="1698">
        <f t="shared" si="2"/>
        <v>0</v>
      </c>
      <c r="AT41" s="1263"/>
      <c r="AU41" s="1263"/>
      <c r="AV41" s="1263"/>
      <c r="AW41" s="1263"/>
      <c r="AX41" s="1264"/>
      <c r="AY41" s="1692">
        <f t="shared" si="3"/>
        <v>0</v>
      </c>
      <c r="AZ41" s="1263"/>
      <c r="BA41" s="1263"/>
      <c r="BB41" s="1263"/>
      <c r="BC41" s="1263"/>
      <c r="BD41" s="1268"/>
      <c r="BE41" s="1210"/>
    </row>
    <row r="42" spans="1:58" ht="15.75" customHeight="1">
      <c r="A42" s="1203"/>
      <c r="B42" s="1700" t="s">
        <v>2004</v>
      </c>
      <c r="C42" s="1374"/>
      <c r="D42" s="1374"/>
      <c r="E42" s="1374"/>
      <c r="F42" s="1374"/>
      <c r="G42" s="1374"/>
      <c r="H42" s="1374"/>
      <c r="I42" s="1375"/>
      <c r="J42" s="1696"/>
      <c r="K42" s="1374"/>
      <c r="L42" s="1374"/>
      <c r="M42" s="1375"/>
      <c r="N42" s="1696"/>
      <c r="O42" s="1374"/>
      <c r="P42" s="1374"/>
      <c r="Q42" s="1375"/>
      <c r="R42" s="1695"/>
      <c r="S42" s="1374"/>
      <c r="T42" s="1374"/>
      <c r="U42" s="1375"/>
      <c r="V42" s="1695"/>
      <c r="W42" s="1374"/>
      <c r="X42" s="1374"/>
      <c r="Y42" s="1375"/>
      <c r="Z42" s="1695"/>
      <c r="AA42" s="1374"/>
      <c r="AB42" s="1374"/>
      <c r="AC42" s="1375"/>
      <c r="AD42" s="1695"/>
      <c r="AE42" s="1374"/>
      <c r="AF42" s="1374"/>
      <c r="AG42" s="1375"/>
      <c r="AH42" s="1695"/>
      <c r="AI42" s="1374"/>
      <c r="AJ42" s="1374"/>
      <c r="AK42" s="1375"/>
      <c r="AL42" s="1695"/>
      <c r="AM42" s="1374"/>
      <c r="AN42" s="1374"/>
      <c r="AO42" s="1375"/>
      <c r="AP42" s="1695"/>
      <c r="AQ42" s="1374"/>
      <c r="AR42" s="1375"/>
      <c r="AS42" s="1698">
        <f t="shared" si="2"/>
        <v>0</v>
      </c>
      <c r="AT42" s="1263"/>
      <c r="AU42" s="1263"/>
      <c r="AV42" s="1263"/>
      <c r="AW42" s="1263"/>
      <c r="AX42" s="1264"/>
      <c r="AY42" s="1692">
        <f t="shared" si="3"/>
        <v>0</v>
      </c>
      <c r="AZ42" s="1263"/>
      <c r="BA42" s="1263"/>
      <c r="BB42" s="1263"/>
      <c r="BC42" s="1263"/>
      <c r="BD42" s="1268"/>
      <c r="BE42" s="1210"/>
    </row>
    <row r="43" spans="1:58" ht="15.75" customHeight="1">
      <c r="A43" s="1203"/>
      <c r="B43" s="1694" t="s">
        <v>2005</v>
      </c>
      <c r="C43" s="1374"/>
      <c r="D43" s="1374"/>
      <c r="E43" s="1374"/>
      <c r="F43" s="1374"/>
      <c r="G43" s="1374"/>
      <c r="H43" s="1374"/>
      <c r="I43" s="1375"/>
      <c r="J43" s="1696"/>
      <c r="K43" s="1374"/>
      <c r="L43" s="1374"/>
      <c r="M43" s="1375"/>
      <c r="N43" s="1696"/>
      <c r="O43" s="1374"/>
      <c r="P43" s="1374"/>
      <c r="Q43" s="1375"/>
      <c r="R43" s="1695"/>
      <c r="S43" s="1374"/>
      <c r="T43" s="1374"/>
      <c r="U43" s="1375"/>
      <c r="V43" s="1695"/>
      <c r="W43" s="1374"/>
      <c r="X43" s="1374"/>
      <c r="Y43" s="1375"/>
      <c r="Z43" s="1695"/>
      <c r="AA43" s="1374"/>
      <c r="AB43" s="1374"/>
      <c r="AC43" s="1375"/>
      <c r="AD43" s="1695"/>
      <c r="AE43" s="1374"/>
      <c r="AF43" s="1374"/>
      <c r="AG43" s="1375"/>
      <c r="AH43" s="1695"/>
      <c r="AI43" s="1374"/>
      <c r="AJ43" s="1374"/>
      <c r="AK43" s="1375"/>
      <c r="AL43" s="1695"/>
      <c r="AM43" s="1374"/>
      <c r="AN43" s="1374"/>
      <c r="AO43" s="1375"/>
      <c r="AP43" s="1695"/>
      <c r="AQ43" s="1374"/>
      <c r="AR43" s="1375"/>
      <c r="AS43" s="1698">
        <f t="shared" si="2"/>
        <v>0</v>
      </c>
      <c r="AT43" s="1263"/>
      <c r="AU43" s="1263"/>
      <c r="AV43" s="1263"/>
      <c r="AW43" s="1263"/>
      <c r="AX43" s="1264"/>
      <c r="AY43" s="1692">
        <f t="shared" si="3"/>
        <v>0</v>
      </c>
      <c r="AZ43" s="1263"/>
      <c r="BA43" s="1263"/>
      <c r="BB43" s="1263"/>
      <c r="BC43" s="1263"/>
      <c r="BD43" s="1268"/>
      <c r="BE43" s="1210"/>
    </row>
    <row r="44" spans="1:58" ht="15.75" customHeight="1">
      <c r="A44" s="1203"/>
      <c r="B44" s="1694" t="s">
        <v>2006</v>
      </c>
      <c r="C44" s="1374"/>
      <c r="D44" s="1374"/>
      <c r="E44" s="1374"/>
      <c r="F44" s="1374"/>
      <c r="G44" s="1374"/>
      <c r="H44" s="1374"/>
      <c r="I44" s="1375"/>
      <c r="J44" s="1696"/>
      <c r="K44" s="1374"/>
      <c r="L44" s="1374"/>
      <c r="M44" s="1375"/>
      <c r="N44" s="1696"/>
      <c r="O44" s="1374"/>
      <c r="P44" s="1374"/>
      <c r="Q44" s="1375"/>
      <c r="R44" s="1695"/>
      <c r="S44" s="1374"/>
      <c r="T44" s="1374"/>
      <c r="U44" s="1375"/>
      <c r="V44" s="1695"/>
      <c r="W44" s="1374"/>
      <c r="X44" s="1374"/>
      <c r="Y44" s="1375"/>
      <c r="Z44" s="1695"/>
      <c r="AA44" s="1374"/>
      <c r="AB44" s="1374"/>
      <c r="AC44" s="1375"/>
      <c r="AD44" s="1695"/>
      <c r="AE44" s="1374"/>
      <c r="AF44" s="1374"/>
      <c r="AG44" s="1375"/>
      <c r="AH44" s="1695"/>
      <c r="AI44" s="1374"/>
      <c r="AJ44" s="1374"/>
      <c r="AK44" s="1375"/>
      <c r="AL44" s="1695"/>
      <c r="AM44" s="1374"/>
      <c r="AN44" s="1374"/>
      <c r="AO44" s="1375"/>
      <c r="AP44" s="1695"/>
      <c r="AQ44" s="1374"/>
      <c r="AR44" s="1375"/>
      <c r="AS44" s="1698">
        <f t="shared" si="2"/>
        <v>0</v>
      </c>
      <c r="AT44" s="1263"/>
      <c r="AU44" s="1263"/>
      <c r="AV44" s="1263"/>
      <c r="AW44" s="1263"/>
      <c r="AX44" s="1264"/>
      <c r="AY44" s="1692">
        <f t="shared" si="3"/>
        <v>0</v>
      </c>
      <c r="AZ44" s="1263"/>
      <c r="BA44" s="1263"/>
      <c r="BB44" s="1263"/>
      <c r="BC44" s="1263"/>
      <c r="BD44" s="1268"/>
      <c r="BE44" s="1210"/>
    </row>
    <row r="45" spans="1:58" ht="15.75" customHeight="1">
      <c r="A45" s="1203"/>
      <c r="B45" s="1694" t="s">
        <v>2007</v>
      </c>
      <c r="C45" s="1374"/>
      <c r="D45" s="1374"/>
      <c r="E45" s="1374"/>
      <c r="F45" s="1374"/>
      <c r="G45" s="1374"/>
      <c r="H45" s="1374"/>
      <c r="I45" s="1375"/>
      <c r="J45" s="1696"/>
      <c r="K45" s="1374"/>
      <c r="L45" s="1374"/>
      <c r="M45" s="1375"/>
      <c r="N45" s="1696"/>
      <c r="O45" s="1374"/>
      <c r="P45" s="1374"/>
      <c r="Q45" s="1375"/>
      <c r="R45" s="1695"/>
      <c r="S45" s="1374"/>
      <c r="T45" s="1374"/>
      <c r="U45" s="1375"/>
      <c r="V45" s="1695"/>
      <c r="W45" s="1374"/>
      <c r="X45" s="1374"/>
      <c r="Y45" s="1375"/>
      <c r="Z45" s="1695"/>
      <c r="AA45" s="1374"/>
      <c r="AB45" s="1374"/>
      <c r="AC45" s="1375"/>
      <c r="AD45" s="1695"/>
      <c r="AE45" s="1374"/>
      <c r="AF45" s="1374"/>
      <c r="AG45" s="1375"/>
      <c r="AH45" s="1695"/>
      <c r="AI45" s="1374"/>
      <c r="AJ45" s="1374"/>
      <c r="AK45" s="1375"/>
      <c r="AL45" s="1695"/>
      <c r="AM45" s="1374"/>
      <c r="AN45" s="1374"/>
      <c r="AO45" s="1375"/>
      <c r="AP45" s="1695"/>
      <c r="AQ45" s="1374"/>
      <c r="AR45" s="1375"/>
      <c r="AS45" s="1698">
        <f t="shared" si="2"/>
        <v>0</v>
      </c>
      <c r="AT45" s="1263"/>
      <c r="AU45" s="1263"/>
      <c r="AV45" s="1263"/>
      <c r="AW45" s="1263"/>
      <c r="AX45" s="1264"/>
      <c r="AY45" s="1692">
        <f t="shared" si="3"/>
        <v>0</v>
      </c>
      <c r="AZ45" s="1263"/>
      <c r="BA45" s="1263"/>
      <c r="BB45" s="1263"/>
      <c r="BC45" s="1263"/>
      <c r="BD45" s="1268"/>
      <c r="BE45" s="1210"/>
    </row>
    <row r="46" spans="1:58" ht="15.75" customHeight="1">
      <c r="A46" s="1203"/>
      <c r="B46" s="1694" t="s">
        <v>2008</v>
      </c>
      <c r="C46" s="1374"/>
      <c r="D46" s="1374"/>
      <c r="E46" s="1374"/>
      <c r="F46" s="1374"/>
      <c r="G46" s="1374"/>
      <c r="H46" s="1374"/>
      <c r="I46" s="1375"/>
      <c r="J46" s="1696"/>
      <c r="K46" s="1374"/>
      <c r="L46" s="1374"/>
      <c r="M46" s="1375"/>
      <c r="N46" s="1696">
        <v>99</v>
      </c>
      <c r="O46" s="1374"/>
      <c r="P46" s="1374"/>
      <c r="Q46" s="1375"/>
      <c r="R46" s="1695"/>
      <c r="S46" s="1374"/>
      <c r="T46" s="1374"/>
      <c r="U46" s="1375"/>
      <c r="V46" s="1695"/>
      <c r="W46" s="1374"/>
      <c r="X46" s="1374"/>
      <c r="Y46" s="1375"/>
      <c r="Z46" s="1695"/>
      <c r="AA46" s="1374"/>
      <c r="AB46" s="1374"/>
      <c r="AC46" s="1375"/>
      <c r="AD46" s="1695"/>
      <c r="AE46" s="1374"/>
      <c r="AF46" s="1374"/>
      <c r="AG46" s="1375"/>
      <c r="AH46" s="1695"/>
      <c r="AI46" s="1374"/>
      <c r="AJ46" s="1374"/>
      <c r="AK46" s="1375"/>
      <c r="AL46" s="1695"/>
      <c r="AM46" s="1374"/>
      <c r="AN46" s="1374"/>
      <c r="AO46" s="1375"/>
      <c r="AP46" s="1695"/>
      <c r="AQ46" s="1374"/>
      <c r="AR46" s="1375"/>
      <c r="AS46" s="1698">
        <f t="shared" si="2"/>
        <v>0</v>
      </c>
      <c r="AT46" s="1263"/>
      <c r="AU46" s="1263"/>
      <c r="AV46" s="1263"/>
      <c r="AW46" s="1263"/>
      <c r="AX46" s="1264"/>
      <c r="AY46" s="1692">
        <f t="shared" si="3"/>
        <v>0</v>
      </c>
      <c r="AZ46" s="1263"/>
      <c r="BA46" s="1263"/>
      <c r="BB46" s="1263"/>
      <c r="BC46" s="1263"/>
      <c r="BD46" s="1268"/>
      <c r="BE46" s="1210"/>
    </row>
    <row r="47" spans="1:58" ht="15.75" customHeight="1" thickBot="1">
      <c r="A47" s="1203"/>
      <c r="B47" s="1909" t="s">
        <v>1168</v>
      </c>
      <c r="C47" s="1709"/>
      <c r="D47" s="1709"/>
      <c r="E47" s="1709"/>
      <c r="F47" s="1709"/>
      <c r="G47" s="1709"/>
      <c r="H47" s="1709"/>
      <c r="I47" s="1718"/>
      <c r="J47" s="1884"/>
      <c r="K47" s="1709"/>
      <c r="L47" s="1709"/>
      <c r="M47" s="1718"/>
      <c r="N47" s="1884"/>
      <c r="O47" s="1709"/>
      <c r="P47" s="1709"/>
      <c r="Q47" s="1718"/>
      <c r="R47" s="1755"/>
      <c r="S47" s="1709"/>
      <c r="T47" s="1709"/>
      <c r="U47" s="1718"/>
      <c r="V47" s="1755"/>
      <c r="W47" s="1709"/>
      <c r="X47" s="1709"/>
      <c r="Y47" s="1718"/>
      <c r="Z47" s="1755"/>
      <c r="AA47" s="1709"/>
      <c r="AB47" s="1709"/>
      <c r="AC47" s="1718"/>
      <c r="AD47" s="1755"/>
      <c r="AE47" s="1709"/>
      <c r="AF47" s="1709"/>
      <c r="AG47" s="1718"/>
      <c r="AH47" s="1755"/>
      <c r="AI47" s="1709"/>
      <c r="AJ47" s="1709"/>
      <c r="AK47" s="1718"/>
      <c r="AL47" s="1755"/>
      <c r="AM47" s="1709"/>
      <c r="AN47" s="1709"/>
      <c r="AO47" s="1718"/>
      <c r="AP47" s="1755"/>
      <c r="AQ47" s="1709"/>
      <c r="AR47" s="1718"/>
      <c r="AS47" s="1698">
        <f t="shared" si="2"/>
        <v>0</v>
      </c>
      <c r="AT47" s="1263"/>
      <c r="AU47" s="1263"/>
      <c r="AV47" s="1263"/>
      <c r="AW47" s="1263"/>
      <c r="AX47" s="1264"/>
      <c r="AY47" s="1922">
        <f t="shared" si="3"/>
        <v>0</v>
      </c>
      <c r="AZ47" s="1685"/>
      <c r="BA47" s="1685"/>
      <c r="BB47" s="1685"/>
      <c r="BC47" s="1685"/>
      <c r="BD47" s="1266"/>
      <c r="BE47" s="1210"/>
    </row>
    <row r="48" spans="1:58" ht="15.75" customHeight="1">
      <c r="A48" s="1203"/>
      <c r="B48" s="1212" t="s">
        <v>2009</v>
      </c>
      <c r="C48" s="1203"/>
      <c r="D48" s="1203"/>
      <c r="E48" s="1203"/>
      <c r="F48" s="1203"/>
      <c r="G48" s="1203"/>
      <c r="H48" s="1203"/>
      <c r="I48" s="1203"/>
      <c r="J48" s="1203"/>
      <c r="K48" s="1203"/>
      <c r="L48" s="1203"/>
      <c r="M48" s="1203"/>
      <c r="N48" s="1203"/>
      <c r="O48" s="1203"/>
      <c r="P48" s="1203"/>
      <c r="Q48" s="1203"/>
      <c r="R48" s="1203"/>
      <c r="S48" s="1203"/>
      <c r="T48" s="1203"/>
      <c r="U48" s="1203"/>
      <c r="V48" s="1203"/>
      <c r="W48" s="1203"/>
      <c r="X48" s="1203"/>
      <c r="Y48" s="1203"/>
      <c r="Z48" s="1203"/>
      <c r="AA48" s="1203"/>
      <c r="AB48" s="1203"/>
      <c r="AC48" s="1203"/>
      <c r="AD48" s="1203"/>
      <c r="AE48" s="1203"/>
      <c r="AF48" s="1203"/>
      <c r="AG48" s="1203"/>
      <c r="AH48" s="1203"/>
      <c r="AI48" s="1203"/>
      <c r="AJ48" s="1203"/>
      <c r="AK48" s="1203"/>
      <c r="AL48" s="1203"/>
      <c r="AM48" s="1203"/>
      <c r="AN48" s="1203"/>
      <c r="AO48" s="1203"/>
      <c r="AP48" s="1203"/>
      <c r="AQ48" s="1203"/>
      <c r="AR48" s="1203"/>
      <c r="AS48" s="1203"/>
      <c r="AT48" s="1203"/>
      <c r="AU48" s="1203"/>
      <c r="AV48" s="1203"/>
      <c r="AW48" s="1203"/>
      <c r="AX48" s="1203"/>
      <c r="AY48" s="1203"/>
      <c r="AZ48" s="1203"/>
      <c r="BA48" s="1203"/>
      <c r="BB48" s="1203"/>
      <c r="BC48" s="1203"/>
      <c r="BD48" s="1203"/>
      <c r="BE48" s="1210"/>
      <c r="BF48" s="1201"/>
    </row>
    <row r="49" spans="1:77" ht="15.75" customHeight="1" thickBot="1">
      <c r="A49" s="1203"/>
      <c r="B49" s="1212" t="s">
        <v>2010</v>
      </c>
      <c r="C49" s="1203"/>
      <c r="D49" s="1203"/>
      <c r="E49" s="1203"/>
      <c r="F49" s="1203"/>
      <c r="G49" s="1203"/>
      <c r="H49" s="1203"/>
      <c r="I49" s="1203"/>
      <c r="J49" s="1203"/>
      <c r="K49" s="1203"/>
      <c r="L49" s="1203"/>
      <c r="M49" s="1203"/>
      <c r="N49" s="1203"/>
      <c r="O49" s="1203"/>
      <c r="P49" s="1203"/>
      <c r="Q49" s="1203"/>
      <c r="R49" s="1203"/>
      <c r="S49" s="1203"/>
      <c r="T49" s="1203"/>
      <c r="U49" s="1203"/>
      <c r="V49" s="1203"/>
      <c r="W49" s="1203"/>
      <c r="X49" s="1203"/>
      <c r="Y49" s="1203"/>
      <c r="Z49" s="1203"/>
      <c r="AA49" s="1203"/>
      <c r="AB49" s="1203"/>
      <c r="AC49" s="1203"/>
      <c r="AD49" s="1203"/>
      <c r="AE49" s="1203"/>
      <c r="AF49" s="1203"/>
      <c r="AG49" s="1203"/>
      <c r="AH49" s="1203"/>
      <c r="AI49" s="1203"/>
      <c r="AJ49" s="1203"/>
      <c r="AK49" s="1203"/>
      <c r="AL49" s="1203"/>
      <c r="AM49" s="1203"/>
      <c r="AN49" s="1203"/>
      <c r="AO49" s="1203"/>
      <c r="AP49" s="1204"/>
      <c r="AQ49" s="1204"/>
      <c r="AR49" s="1204"/>
      <c r="AS49" s="1204"/>
      <c r="AT49" s="1204"/>
      <c r="AU49" s="1204"/>
      <c r="AV49" s="1204"/>
      <c r="AW49" s="1204"/>
      <c r="AX49" s="1203"/>
      <c r="AY49" s="1203"/>
      <c r="AZ49" s="1203"/>
      <c r="BA49" s="1203"/>
      <c r="BB49" s="1203"/>
      <c r="BC49" s="1203"/>
      <c r="BD49" s="1203"/>
      <c r="BE49" s="1210"/>
      <c r="BF49" s="1201"/>
    </row>
    <row r="50" spans="1:77" ht="15.75" customHeight="1">
      <c r="A50" s="1203"/>
      <c r="B50" s="1726" t="s">
        <v>2011</v>
      </c>
      <c r="C50" s="1288"/>
      <c r="D50" s="1288"/>
      <c r="E50" s="1288"/>
      <c r="F50" s="1288"/>
      <c r="G50" s="1288"/>
      <c r="H50" s="1288"/>
      <c r="I50" s="1288"/>
      <c r="J50" s="1288"/>
      <c r="K50" s="1288"/>
      <c r="L50" s="1288"/>
      <c r="M50" s="1288"/>
      <c r="N50" s="1288"/>
      <c r="O50" s="1288"/>
      <c r="P50" s="1288"/>
      <c r="Q50" s="1288"/>
      <c r="R50" s="1288"/>
      <c r="S50" s="1288"/>
      <c r="T50" s="1288"/>
      <c r="U50" s="1288"/>
      <c r="V50" s="1288"/>
      <c r="W50" s="1288"/>
      <c r="X50" s="1288"/>
      <c r="Y50" s="1288"/>
      <c r="Z50" s="1288"/>
      <c r="AA50" s="1288"/>
      <c r="AB50" s="1288"/>
      <c r="AC50" s="1288"/>
      <c r="AD50" s="1288"/>
      <c r="AE50" s="1288"/>
      <c r="AF50" s="1288"/>
      <c r="AG50" s="1288"/>
      <c r="AH50" s="1288"/>
      <c r="AI50" s="1288"/>
      <c r="AJ50" s="1288"/>
      <c r="AK50" s="1288"/>
      <c r="AL50" s="1288"/>
      <c r="AM50" s="1288"/>
      <c r="AN50" s="1288"/>
      <c r="AO50" s="1272"/>
      <c r="AP50" s="1204"/>
      <c r="AQ50" s="1204"/>
      <c r="AR50" s="1204"/>
      <c r="AS50" s="1204"/>
      <c r="AT50" s="1204"/>
      <c r="AU50" s="1204"/>
      <c r="AV50" s="1204"/>
      <c r="AW50" s="1204"/>
      <c r="AX50" s="1203"/>
      <c r="AY50" s="1203"/>
      <c r="AZ50" s="1203"/>
      <c r="BA50" s="1203"/>
      <c r="BB50" s="1203"/>
      <c r="BC50" s="1203"/>
      <c r="BD50" s="1203"/>
      <c r="BE50" s="1210"/>
    </row>
    <row r="51" spans="1:77" ht="33.75" customHeight="1">
      <c r="A51" s="1203"/>
      <c r="B51" s="1707" t="s">
        <v>2012</v>
      </c>
      <c r="C51" s="1263"/>
      <c r="D51" s="1263"/>
      <c r="E51" s="1263"/>
      <c r="F51" s="1263"/>
      <c r="G51" s="1263"/>
      <c r="H51" s="1263"/>
      <c r="I51" s="1264"/>
      <c r="J51" s="1749" t="s">
        <v>2013</v>
      </c>
      <c r="K51" s="1263"/>
      <c r="L51" s="1263"/>
      <c r="M51" s="1263"/>
      <c r="N51" s="1263"/>
      <c r="O51" s="1263"/>
      <c r="P51" s="1263"/>
      <c r="Q51" s="1264"/>
      <c r="R51" s="1732" t="s">
        <v>2014</v>
      </c>
      <c r="S51" s="1263"/>
      <c r="T51" s="1263"/>
      <c r="U51" s="1263"/>
      <c r="V51" s="1263"/>
      <c r="W51" s="1263"/>
      <c r="X51" s="1263"/>
      <c r="Y51" s="1264"/>
      <c r="Z51" s="1732" t="s">
        <v>2015</v>
      </c>
      <c r="AA51" s="1263"/>
      <c r="AB51" s="1263"/>
      <c r="AC51" s="1263"/>
      <c r="AD51" s="1263"/>
      <c r="AE51" s="1263"/>
      <c r="AF51" s="1263"/>
      <c r="AG51" s="1264"/>
      <c r="AH51" s="1732" t="s">
        <v>2016</v>
      </c>
      <c r="AI51" s="1263"/>
      <c r="AJ51" s="1263"/>
      <c r="AK51" s="1263"/>
      <c r="AL51" s="1263"/>
      <c r="AM51" s="1263"/>
      <c r="AN51" s="1263"/>
      <c r="AO51" s="1264"/>
      <c r="AP51" s="1204"/>
      <c r="AQ51" s="1204"/>
      <c r="AR51" s="1204"/>
      <c r="AS51" s="1204"/>
      <c r="AT51" s="1204"/>
      <c r="AU51" s="1204"/>
      <c r="AV51" s="1204"/>
      <c r="AW51" s="1204"/>
      <c r="AX51" s="1211"/>
      <c r="AY51" s="1203"/>
      <c r="AZ51" s="1203"/>
      <c r="BA51" s="1203"/>
      <c r="BB51" s="1203"/>
      <c r="BC51" s="1203"/>
      <c r="BD51" s="1203"/>
      <c r="BE51" s="1210"/>
    </row>
    <row r="52" spans="1:77" ht="15.75" customHeight="1">
      <c r="A52" s="1203"/>
      <c r="B52" s="1694" t="s">
        <v>2017</v>
      </c>
      <c r="C52" s="1374"/>
      <c r="D52" s="1374"/>
      <c r="E52" s="1374"/>
      <c r="F52" s="1374"/>
      <c r="G52" s="1374"/>
      <c r="H52" s="1374"/>
      <c r="I52" s="1375"/>
      <c r="J52" s="1706">
        <v>0</v>
      </c>
      <c r="K52" s="1374"/>
      <c r="L52" s="1374"/>
      <c r="M52" s="1374"/>
      <c r="N52" s="1374"/>
      <c r="O52" s="1374"/>
      <c r="P52" s="1374"/>
      <c r="Q52" s="1375"/>
      <c r="R52" s="1691">
        <v>0</v>
      </c>
      <c r="S52" s="1374"/>
      <c r="T52" s="1374"/>
      <c r="U52" s="1374"/>
      <c r="V52" s="1374"/>
      <c r="W52" s="1374"/>
      <c r="X52" s="1374"/>
      <c r="Y52" s="1375"/>
      <c r="Z52" s="1690">
        <v>0</v>
      </c>
      <c r="AA52" s="1374"/>
      <c r="AB52" s="1374"/>
      <c r="AC52" s="1374"/>
      <c r="AD52" s="1374"/>
      <c r="AE52" s="1374"/>
      <c r="AF52" s="1374"/>
      <c r="AG52" s="1375"/>
      <c r="AH52" s="1734"/>
      <c r="AI52" s="1374"/>
      <c r="AJ52" s="1374"/>
      <c r="AK52" s="1374"/>
      <c r="AL52" s="1374"/>
      <c r="AM52" s="1374"/>
      <c r="AN52" s="1374"/>
      <c r="AO52" s="1375"/>
      <c r="AP52" s="1204"/>
      <c r="AQ52" s="1204"/>
      <c r="AR52" s="1204"/>
      <c r="AS52" s="1204"/>
      <c r="AT52" s="1204"/>
      <c r="AU52" s="1204"/>
      <c r="AV52" s="1204"/>
      <c r="AW52" s="1204"/>
      <c r="AX52" s="1211"/>
      <c r="AY52" s="1203"/>
      <c r="AZ52" s="1203"/>
      <c r="BA52" s="1203"/>
      <c r="BB52" s="1203"/>
      <c r="BC52" s="1203"/>
      <c r="BD52" s="1203"/>
      <c r="BE52" s="1210"/>
    </row>
    <row r="53" spans="1:77" ht="15.75" customHeight="1">
      <c r="A53" s="1203"/>
      <c r="B53" s="1694" t="s">
        <v>2018</v>
      </c>
      <c r="C53" s="1374"/>
      <c r="D53" s="1374"/>
      <c r="E53" s="1374"/>
      <c r="F53" s="1374"/>
      <c r="G53" s="1374"/>
      <c r="H53" s="1374"/>
      <c r="I53" s="1375"/>
      <c r="J53" s="1706">
        <v>0</v>
      </c>
      <c r="K53" s="1374"/>
      <c r="L53" s="1374"/>
      <c r="M53" s="1374"/>
      <c r="N53" s="1374"/>
      <c r="O53" s="1374"/>
      <c r="P53" s="1374"/>
      <c r="Q53" s="1375"/>
      <c r="R53" s="1691">
        <v>0</v>
      </c>
      <c r="S53" s="1374"/>
      <c r="T53" s="1374"/>
      <c r="U53" s="1374"/>
      <c r="V53" s="1374"/>
      <c r="W53" s="1374"/>
      <c r="X53" s="1374"/>
      <c r="Y53" s="1375"/>
      <c r="Z53" s="1690">
        <v>0</v>
      </c>
      <c r="AA53" s="1374"/>
      <c r="AB53" s="1374"/>
      <c r="AC53" s="1374"/>
      <c r="AD53" s="1374"/>
      <c r="AE53" s="1374"/>
      <c r="AF53" s="1374"/>
      <c r="AG53" s="1375"/>
      <c r="AH53" s="1734"/>
      <c r="AI53" s="1374"/>
      <c r="AJ53" s="1374"/>
      <c r="AK53" s="1374"/>
      <c r="AL53" s="1374"/>
      <c r="AM53" s="1374"/>
      <c r="AN53" s="1374"/>
      <c r="AO53" s="1375"/>
      <c r="AP53" s="1204"/>
      <c r="AQ53" s="1204"/>
      <c r="AR53" s="1204"/>
      <c r="AS53" s="1204"/>
      <c r="AT53" s="1204"/>
      <c r="AU53" s="1204"/>
      <c r="AV53" s="1204"/>
      <c r="AW53" s="1204"/>
      <c r="AX53" s="1203"/>
      <c r="AY53" s="1203"/>
      <c r="AZ53" s="1203"/>
      <c r="BA53" s="1203"/>
      <c r="BB53" s="1203"/>
      <c r="BC53" s="1203"/>
      <c r="BD53" s="1203"/>
      <c r="BE53" s="1210"/>
    </row>
    <row r="54" spans="1:77" ht="15.75" customHeight="1">
      <c r="A54" s="1203"/>
      <c r="B54" s="1694"/>
      <c r="C54" s="1374"/>
      <c r="D54" s="1374"/>
      <c r="E54" s="1374"/>
      <c r="F54" s="1374"/>
      <c r="G54" s="1374"/>
      <c r="H54" s="1374"/>
      <c r="I54" s="1375"/>
      <c r="J54" s="1706"/>
      <c r="K54" s="1374"/>
      <c r="L54" s="1374"/>
      <c r="M54" s="1374"/>
      <c r="N54" s="1374"/>
      <c r="O54" s="1374"/>
      <c r="P54" s="1374"/>
      <c r="Q54" s="1375"/>
      <c r="R54" s="1691"/>
      <c r="S54" s="1374"/>
      <c r="T54" s="1374"/>
      <c r="U54" s="1374"/>
      <c r="V54" s="1374"/>
      <c r="W54" s="1374"/>
      <c r="X54" s="1374"/>
      <c r="Y54" s="1375"/>
      <c r="Z54" s="1690"/>
      <c r="AA54" s="1374"/>
      <c r="AB54" s="1374"/>
      <c r="AC54" s="1374"/>
      <c r="AD54" s="1374"/>
      <c r="AE54" s="1374"/>
      <c r="AF54" s="1374"/>
      <c r="AG54" s="1375"/>
      <c r="AH54" s="1734"/>
      <c r="AI54" s="1374"/>
      <c r="AJ54" s="1374"/>
      <c r="AK54" s="1374"/>
      <c r="AL54" s="1374"/>
      <c r="AM54" s="1374"/>
      <c r="AN54" s="1374"/>
      <c r="AO54" s="1375"/>
      <c r="AP54" s="1204"/>
      <c r="AQ54" s="1204"/>
      <c r="AR54" s="1204"/>
      <c r="AS54" s="1204"/>
      <c r="AT54" s="1204"/>
      <c r="AU54" s="1204"/>
      <c r="AV54" s="1204"/>
      <c r="AW54" s="1204"/>
      <c r="AX54" s="1203"/>
      <c r="AY54" s="1203"/>
      <c r="AZ54" s="1203"/>
      <c r="BA54" s="1203"/>
      <c r="BB54" s="1203"/>
      <c r="BC54" s="1203"/>
      <c r="BD54" s="1203"/>
      <c r="BE54" s="1210"/>
    </row>
    <row r="55" spans="1:77" ht="15.75" customHeight="1">
      <c r="A55" s="1203"/>
      <c r="B55" s="1694"/>
      <c r="C55" s="1374"/>
      <c r="D55" s="1374"/>
      <c r="E55" s="1374"/>
      <c r="F55" s="1374"/>
      <c r="G55" s="1374"/>
      <c r="H55" s="1374"/>
      <c r="I55" s="1375"/>
      <c r="J55" s="1706"/>
      <c r="K55" s="1374"/>
      <c r="L55" s="1374"/>
      <c r="M55" s="1374"/>
      <c r="N55" s="1374"/>
      <c r="O55" s="1374"/>
      <c r="P55" s="1374"/>
      <c r="Q55" s="1375"/>
      <c r="R55" s="1691"/>
      <c r="S55" s="1374"/>
      <c r="T55" s="1374"/>
      <c r="U55" s="1374"/>
      <c r="V55" s="1374"/>
      <c r="W55" s="1374"/>
      <c r="X55" s="1374"/>
      <c r="Y55" s="1375"/>
      <c r="Z55" s="1690"/>
      <c r="AA55" s="1374"/>
      <c r="AB55" s="1374"/>
      <c r="AC55" s="1374"/>
      <c r="AD55" s="1374"/>
      <c r="AE55" s="1374"/>
      <c r="AF55" s="1374"/>
      <c r="AG55" s="1375"/>
      <c r="AH55" s="1734"/>
      <c r="AI55" s="1374"/>
      <c r="AJ55" s="1374"/>
      <c r="AK55" s="1374"/>
      <c r="AL55" s="1374"/>
      <c r="AM55" s="1374"/>
      <c r="AN55" s="1374"/>
      <c r="AO55" s="1375"/>
      <c r="AP55" s="1204"/>
      <c r="AQ55" s="1204"/>
      <c r="AR55" s="1204"/>
      <c r="AS55" s="1204"/>
      <c r="AT55" s="1204" t="s">
        <v>366</v>
      </c>
      <c r="AU55" s="1204"/>
      <c r="AV55" s="1204"/>
      <c r="AW55" s="1204"/>
      <c r="AX55" s="1203"/>
      <c r="AY55" s="1203"/>
      <c r="AZ55" s="1203"/>
      <c r="BA55" s="1203"/>
      <c r="BB55" s="1203"/>
      <c r="BC55" s="1203"/>
      <c r="BD55" s="1203"/>
      <c r="BE55" s="1210"/>
    </row>
    <row r="56" spans="1:77" ht="15.75" customHeight="1">
      <c r="A56" s="1203"/>
      <c r="B56" s="1694"/>
      <c r="C56" s="1374"/>
      <c r="D56" s="1374"/>
      <c r="E56" s="1374"/>
      <c r="F56" s="1374"/>
      <c r="G56" s="1374"/>
      <c r="H56" s="1374"/>
      <c r="I56" s="1375"/>
      <c r="J56" s="1706"/>
      <c r="K56" s="1374"/>
      <c r="L56" s="1374"/>
      <c r="M56" s="1374"/>
      <c r="N56" s="1374"/>
      <c r="O56" s="1374"/>
      <c r="P56" s="1374"/>
      <c r="Q56" s="1375"/>
      <c r="R56" s="1691"/>
      <c r="S56" s="1374"/>
      <c r="T56" s="1374"/>
      <c r="U56" s="1374"/>
      <c r="V56" s="1374"/>
      <c r="W56" s="1374"/>
      <c r="X56" s="1374"/>
      <c r="Y56" s="1375"/>
      <c r="Z56" s="1690"/>
      <c r="AA56" s="1374"/>
      <c r="AB56" s="1374"/>
      <c r="AC56" s="1374"/>
      <c r="AD56" s="1374"/>
      <c r="AE56" s="1374"/>
      <c r="AF56" s="1374"/>
      <c r="AG56" s="1375"/>
      <c r="AH56" s="1734"/>
      <c r="AI56" s="1374"/>
      <c r="AJ56" s="1374"/>
      <c r="AK56" s="1374"/>
      <c r="AL56" s="1374"/>
      <c r="AM56" s="1374"/>
      <c r="AN56" s="1374"/>
      <c r="AO56" s="1375"/>
      <c r="AP56" s="1204"/>
      <c r="AQ56" s="1204"/>
      <c r="AR56" s="1204"/>
      <c r="AS56" s="1204"/>
      <c r="AT56" s="1204"/>
      <c r="AU56" s="1204"/>
      <c r="AV56" s="1204"/>
      <c r="AW56" s="1204"/>
      <c r="AX56" s="1203"/>
      <c r="AY56" s="1203"/>
      <c r="AZ56" s="1203"/>
      <c r="BA56" s="1203"/>
      <c r="BB56" s="1203"/>
      <c r="BC56" s="1203"/>
      <c r="BD56" s="1203"/>
      <c r="BE56" s="1210"/>
    </row>
    <row r="57" spans="1:77" s="1214" customFormat="1" ht="15.75" customHeight="1" thickBot="1">
      <c r="A57" s="1204"/>
      <c r="B57" s="1812" t="s">
        <v>42</v>
      </c>
      <c r="C57" s="1685"/>
      <c r="D57" s="1685"/>
      <c r="E57" s="1685"/>
      <c r="F57" s="1685"/>
      <c r="G57" s="1685"/>
      <c r="H57" s="1685"/>
      <c r="I57" s="1279"/>
      <c r="J57" s="1684"/>
      <c r="K57" s="1685"/>
      <c r="L57" s="1685"/>
      <c r="M57" s="1685"/>
      <c r="N57" s="1685"/>
      <c r="O57" s="1685"/>
      <c r="P57" s="1685"/>
      <c r="Q57" s="1279"/>
      <c r="R57" s="1923">
        <f>SUM(R52:Y56)</f>
        <v>0</v>
      </c>
      <c r="S57" s="1685"/>
      <c r="T57" s="1685"/>
      <c r="U57" s="1685"/>
      <c r="V57" s="1685"/>
      <c r="W57" s="1685"/>
      <c r="X57" s="1685"/>
      <c r="Y57" s="1279"/>
      <c r="Z57" s="1868">
        <f>SUM(Z52:AG56)</f>
        <v>0</v>
      </c>
      <c r="AA57" s="1685"/>
      <c r="AB57" s="1685"/>
      <c r="AC57" s="1685"/>
      <c r="AD57" s="1685"/>
      <c r="AE57" s="1685"/>
      <c r="AF57" s="1685"/>
      <c r="AG57" s="1279"/>
      <c r="AH57" s="1835"/>
      <c r="AI57" s="1685"/>
      <c r="AJ57" s="1685"/>
      <c r="AK57" s="1685"/>
      <c r="AL57" s="1685"/>
      <c r="AM57" s="1685"/>
      <c r="AN57" s="1685"/>
      <c r="AO57" s="1279"/>
      <c r="AP57" s="1204"/>
      <c r="AQ57" s="1204"/>
      <c r="AR57" s="1204"/>
      <c r="AS57" s="1204"/>
      <c r="AT57" s="1204"/>
      <c r="AU57" s="1204"/>
      <c r="AV57" s="1204"/>
      <c r="AW57" s="1204"/>
      <c r="AX57" s="1204"/>
      <c r="AY57" s="1204"/>
      <c r="AZ57" s="1204"/>
      <c r="BA57" s="1204"/>
      <c r="BB57" s="1204"/>
      <c r="BC57" s="1204"/>
      <c r="BD57" s="1204"/>
      <c r="BE57" s="1213"/>
      <c r="BN57" s="1215"/>
      <c r="BO57" s="1215"/>
      <c r="BP57" s="1215"/>
      <c r="BQ57" s="1215"/>
      <c r="BR57" s="1215"/>
      <c r="BS57" s="1215"/>
      <c r="BT57" s="1215"/>
      <c r="BU57" s="1215"/>
      <c r="BV57" s="1215"/>
      <c r="BW57" s="1215"/>
      <c r="BX57" s="1215"/>
      <c r="BY57" s="1215"/>
    </row>
    <row r="58" spans="1:77" ht="15.75" customHeight="1" thickBot="1">
      <c r="A58" s="1203"/>
      <c r="B58" s="1203"/>
      <c r="C58" s="1203"/>
      <c r="D58" s="1203"/>
      <c r="E58" s="1203"/>
      <c r="F58" s="1203"/>
      <c r="G58" s="1203"/>
      <c r="H58" s="1203"/>
      <c r="I58" s="1203"/>
      <c r="J58" s="1203"/>
      <c r="K58" s="1203"/>
      <c r="L58" s="1203"/>
      <c r="M58" s="1203"/>
      <c r="N58" s="1203"/>
      <c r="O58" s="1203"/>
      <c r="P58" s="1203"/>
      <c r="Q58" s="1203"/>
      <c r="R58" s="1203"/>
      <c r="S58" s="1203"/>
      <c r="T58" s="1203"/>
      <c r="U58" s="1203"/>
      <c r="V58" s="1203"/>
      <c r="W58" s="1203"/>
      <c r="X58" s="1203"/>
      <c r="Y58" s="1203"/>
      <c r="Z58" s="1203"/>
      <c r="AA58" s="1203"/>
      <c r="AB58" s="1203"/>
      <c r="AC58" s="1203"/>
      <c r="AD58" s="1203"/>
      <c r="AE58" s="1203"/>
      <c r="AF58" s="1203"/>
      <c r="AG58" s="1203"/>
      <c r="AH58" s="1203"/>
      <c r="AI58" s="1203"/>
      <c r="AJ58" s="1203"/>
      <c r="AK58" s="1203"/>
      <c r="AL58" s="1203"/>
      <c r="AM58" s="1203"/>
      <c r="AN58" s="1203"/>
      <c r="AO58" s="1203"/>
      <c r="AP58" s="1203"/>
      <c r="AQ58" s="1203"/>
      <c r="AR58" s="1203"/>
      <c r="AS58" s="1203"/>
      <c r="AT58" s="1203"/>
      <c r="AU58" s="1203"/>
      <c r="AV58" s="1203"/>
      <c r="AW58" s="1203"/>
      <c r="AX58" s="1203"/>
      <c r="AY58" s="1203"/>
      <c r="AZ58" s="1203"/>
      <c r="BA58" s="1203"/>
      <c r="BB58" s="1203"/>
      <c r="BC58" s="1203"/>
      <c r="BD58" s="1203"/>
      <c r="BE58" s="1210"/>
    </row>
    <row r="59" spans="1:77" ht="15.75" customHeight="1">
      <c r="A59" s="1203"/>
      <c r="B59" s="1831" t="s">
        <v>2012</v>
      </c>
      <c r="C59" s="1743"/>
      <c r="D59" s="1743"/>
      <c r="E59" s="1743"/>
      <c r="F59" s="1743"/>
      <c r="G59" s="1743"/>
      <c r="H59" s="1743"/>
      <c r="I59" s="1744"/>
      <c r="J59" s="1911" t="s">
        <v>2019</v>
      </c>
      <c r="K59" s="1288"/>
      <c r="L59" s="1288"/>
      <c r="M59" s="1288"/>
      <c r="N59" s="1288"/>
      <c r="O59" s="1288"/>
      <c r="P59" s="1288"/>
      <c r="Q59" s="1288"/>
      <c r="R59" s="1288"/>
      <c r="S59" s="1288"/>
      <c r="T59" s="1288"/>
      <c r="U59" s="1288"/>
      <c r="V59" s="1288"/>
      <c r="W59" s="1288"/>
      <c r="X59" s="1288"/>
      <c r="Y59" s="1288"/>
      <c r="Z59" s="1288"/>
      <c r="AA59" s="1288"/>
      <c r="AB59" s="1288"/>
      <c r="AC59" s="1288"/>
      <c r="AD59" s="1288"/>
      <c r="AE59" s="1288"/>
      <c r="AF59" s="1288"/>
      <c r="AG59" s="1288"/>
      <c r="AH59" s="1288"/>
      <c r="AI59" s="1288"/>
      <c r="AJ59" s="1288"/>
      <c r="AK59" s="1288"/>
      <c r="AL59" s="1288"/>
      <c r="AM59" s="1288"/>
      <c r="AN59" s="1288"/>
      <c r="AO59" s="1288"/>
      <c r="AP59" s="1288"/>
      <c r="AQ59" s="1288"/>
      <c r="AR59" s="1288"/>
      <c r="AS59" s="1288"/>
      <c r="AT59" s="1288"/>
      <c r="AU59" s="1288"/>
      <c r="AV59" s="1288"/>
      <c r="AW59" s="1285"/>
      <c r="AX59" s="1203"/>
      <c r="AY59" s="1203"/>
      <c r="AZ59" s="1203"/>
      <c r="BA59" s="1203"/>
      <c r="BB59" s="1203"/>
      <c r="BC59" s="1203"/>
      <c r="BD59" s="1203"/>
      <c r="BE59" s="1210"/>
    </row>
    <row r="60" spans="1:77" ht="15.75" customHeight="1">
      <c r="A60" s="1203"/>
      <c r="B60" s="1826" t="str">
        <f>IF(B52="", "", B52)</f>
        <v>Services Company 1</v>
      </c>
      <c r="C60" s="1374"/>
      <c r="D60" s="1374"/>
      <c r="E60" s="1374"/>
      <c r="F60" s="1374"/>
      <c r="G60" s="1374"/>
      <c r="H60" s="1374"/>
      <c r="I60" s="1375"/>
      <c r="J60" s="1693"/>
      <c r="K60" s="1374"/>
      <c r="L60" s="1374"/>
      <c r="M60" s="1374"/>
      <c r="N60" s="1374"/>
      <c r="O60" s="1374"/>
      <c r="P60" s="1374"/>
      <c r="Q60" s="1374"/>
      <c r="R60" s="1374"/>
      <c r="S60" s="1374"/>
      <c r="T60" s="1374"/>
      <c r="U60" s="1374"/>
      <c r="V60" s="1374"/>
      <c r="W60" s="1374"/>
      <c r="X60" s="1374"/>
      <c r="Y60" s="1374"/>
      <c r="Z60" s="1374"/>
      <c r="AA60" s="1374"/>
      <c r="AB60" s="1374"/>
      <c r="AC60" s="1374"/>
      <c r="AD60" s="1374"/>
      <c r="AE60" s="1374"/>
      <c r="AF60" s="1374"/>
      <c r="AG60" s="1374"/>
      <c r="AH60" s="1374"/>
      <c r="AI60" s="1374"/>
      <c r="AJ60" s="1374"/>
      <c r="AK60" s="1374"/>
      <c r="AL60" s="1374"/>
      <c r="AM60" s="1374"/>
      <c r="AN60" s="1374"/>
      <c r="AO60" s="1374"/>
      <c r="AP60" s="1374"/>
      <c r="AQ60" s="1374"/>
      <c r="AR60" s="1374"/>
      <c r="AS60" s="1374"/>
      <c r="AT60" s="1374"/>
      <c r="AU60" s="1374"/>
      <c r="AV60" s="1374"/>
      <c r="AW60" s="1375"/>
      <c r="AX60" s="1203"/>
      <c r="AY60" s="1203"/>
      <c r="AZ60" s="1203"/>
      <c r="BA60" s="1203"/>
      <c r="BB60" s="1203"/>
      <c r="BC60" s="1203"/>
      <c r="BD60" s="1203"/>
      <c r="BE60" s="1210"/>
    </row>
    <row r="61" spans="1:77" ht="15.75" customHeight="1">
      <c r="A61" s="1203"/>
      <c r="B61" s="1826" t="str">
        <f>IF(B53="", "", B53)</f>
        <v>Services Company 2</v>
      </c>
      <c r="C61" s="1374"/>
      <c r="D61" s="1374"/>
      <c r="E61" s="1374"/>
      <c r="F61" s="1374"/>
      <c r="G61" s="1374"/>
      <c r="H61" s="1374"/>
      <c r="I61" s="1375"/>
      <c r="J61" s="1693"/>
      <c r="K61" s="1374"/>
      <c r="L61" s="1374"/>
      <c r="M61" s="1374"/>
      <c r="N61" s="1374"/>
      <c r="O61" s="1374"/>
      <c r="P61" s="1374"/>
      <c r="Q61" s="1374"/>
      <c r="R61" s="1374"/>
      <c r="S61" s="1374"/>
      <c r="T61" s="1374"/>
      <c r="U61" s="1374"/>
      <c r="V61" s="1374"/>
      <c r="W61" s="1374"/>
      <c r="X61" s="1374"/>
      <c r="Y61" s="1374"/>
      <c r="Z61" s="1374"/>
      <c r="AA61" s="1374"/>
      <c r="AB61" s="1374"/>
      <c r="AC61" s="1374"/>
      <c r="AD61" s="1374"/>
      <c r="AE61" s="1374"/>
      <c r="AF61" s="1374"/>
      <c r="AG61" s="1374"/>
      <c r="AH61" s="1374"/>
      <c r="AI61" s="1374"/>
      <c r="AJ61" s="1374"/>
      <c r="AK61" s="1374"/>
      <c r="AL61" s="1374"/>
      <c r="AM61" s="1374"/>
      <c r="AN61" s="1374"/>
      <c r="AO61" s="1374"/>
      <c r="AP61" s="1374"/>
      <c r="AQ61" s="1374"/>
      <c r="AR61" s="1374"/>
      <c r="AS61" s="1374"/>
      <c r="AT61" s="1374"/>
      <c r="AU61" s="1374"/>
      <c r="AV61" s="1374"/>
      <c r="AW61" s="1375"/>
      <c r="AX61" s="1203"/>
      <c r="AY61" s="1203"/>
      <c r="AZ61" s="1203"/>
      <c r="BA61" s="1203"/>
      <c r="BB61" s="1203"/>
      <c r="BC61" s="1203"/>
      <c r="BD61" s="1203"/>
      <c r="BE61" s="1210"/>
    </row>
    <row r="62" spans="1:77" ht="15.75" customHeight="1">
      <c r="A62" s="1203"/>
      <c r="B62" s="1826" t="str">
        <f>IF(B54="", "", B54)</f>
        <v/>
      </c>
      <c r="C62" s="1374"/>
      <c r="D62" s="1374"/>
      <c r="E62" s="1374"/>
      <c r="F62" s="1374"/>
      <c r="G62" s="1374"/>
      <c r="H62" s="1374"/>
      <c r="I62" s="1375"/>
      <c r="J62" s="1693"/>
      <c r="K62" s="1374"/>
      <c r="L62" s="1374"/>
      <c r="M62" s="1374"/>
      <c r="N62" s="1374"/>
      <c r="O62" s="1374"/>
      <c r="P62" s="1374"/>
      <c r="Q62" s="1374"/>
      <c r="R62" s="1374"/>
      <c r="S62" s="1374"/>
      <c r="T62" s="1374"/>
      <c r="U62" s="1374"/>
      <c r="V62" s="1374"/>
      <c r="W62" s="1374"/>
      <c r="X62" s="1374"/>
      <c r="Y62" s="1374"/>
      <c r="Z62" s="1374"/>
      <c r="AA62" s="1374"/>
      <c r="AB62" s="1374"/>
      <c r="AC62" s="1374"/>
      <c r="AD62" s="1374"/>
      <c r="AE62" s="1374"/>
      <c r="AF62" s="1374"/>
      <c r="AG62" s="1374"/>
      <c r="AH62" s="1374"/>
      <c r="AI62" s="1374"/>
      <c r="AJ62" s="1374"/>
      <c r="AK62" s="1374"/>
      <c r="AL62" s="1374"/>
      <c r="AM62" s="1374"/>
      <c r="AN62" s="1374"/>
      <c r="AO62" s="1374"/>
      <c r="AP62" s="1374"/>
      <c r="AQ62" s="1374"/>
      <c r="AR62" s="1374"/>
      <c r="AS62" s="1374"/>
      <c r="AT62" s="1374"/>
      <c r="AU62" s="1374"/>
      <c r="AV62" s="1374"/>
      <c r="AW62" s="1375"/>
      <c r="AX62" s="1203"/>
      <c r="AY62" s="1203"/>
      <c r="AZ62" s="1203"/>
      <c r="BA62" s="1203"/>
      <c r="BB62" s="1203"/>
      <c r="BC62" s="1203"/>
      <c r="BD62" s="1203"/>
      <c r="BE62" s="1210"/>
    </row>
    <row r="63" spans="1:77" ht="15.75" customHeight="1">
      <c r="A63" s="1203"/>
      <c r="B63" s="1826" t="str">
        <f>IF(B55="", "", B55)</f>
        <v/>
      </c>
      <c r="C63" s="1374"/>
      <c r="D63" s="1374"/>
      <c r="E63" s="1374"/>
      <c r="F63" s="1374"/>
      <c r="G63" s="1374"/>
      <c r="H63" s="1374"/>
      <c r="I63" s="1375"/>
      <c r="J63" s="1693"/>
      <c r="K63" s="1374"/>
      <c r="L63" s="1374"/>
      <c r="M63" s="1374"/>
      <c r="N63" s="1374"/>
      <c r="O63" s="1374"/>
      <c r="P63" s="1374"/>
      <c r="Q63" s="1374"/>
      <c r="R63" s="1374"/>
      <c r="S63" s="1374"/>
      <c r="T63" s="1374"/>
      <c r="U63" s="1374"/>
      <c r="V63" s="1374"/>
      <c r="W63" s="1374"/>
      <c r="X63" s="1374"/>
      <c r="Y63" s="1374"/>
      <c r="Z63" s="1374"/>
      <c r="AA63" s="1374"/>
      <c r="AB63" s="1374"/>
      <c r="AC63" s="1374"/>
      <c r="AD63" s="1374"/>
      <c r="AE63" s="1374"/>
      <c r="AF63" s="1374"/>
      <c r="AG63" s="1374"/>
      <c r="AH63" s="1374"/>
      <c r="AI63" s="1374"/>
      <c r="AJ63" s="1374"/>
      <c r="AK63" s="1374"/>
      <c r="AL63" s="1374"/>
      <c r="AM63" s="1374"/>
      <c r="AN63" s="1374"/>
      <c r="AO63" s="1374"/>
      <c r="AP63" s="1374"/>
      <c r="AQ63" s="1374"/>
      <c r="AR63" s="1374"/>
      <c r="AS63" s="1374"/>
      <c r="AT63" s="1374"/>
      <c r="AU63" s="1374"/>
      <c r="AV63" s="1374"/>
      <c r="AW63" s="1375"/>
      <c r="AX63" s="1203"/>
      <c r="AY63" s="1203"/>
      <c r="AZ63" s="1203"/>
      <c r="BA63" s="1203"/>
      <c r="BB63" s="1203"/>
      <c r="BC63" s="1203"/>
      <c r="BD63" s="1203"/>
      <c r="BE63" s="1210"/>
    </row>
    <row r="64" spans="1:77" ht="15.75" customHeight="1" thickBot="1">
      <c r="A64" s="1203"/>
      <c r="B64" s="1756" t="str">
        <f>IF(B56="", "", B56)</f>
        <v/>
      </c>
      <c r="C64" s="1709"/>
      <c r="D64" s="1709"/>
      <c r="E64" s="1709"/>
      <c r="F64" s="1709"/>
      <c r="G64" s="1709"/>
      <c r="H64" s="1709"/>
      <c r="I64" s="1718"/>
      <c r="J64" s="1899"/>
      <c r="K64" s="1709"/>
      <c r="L64" s="1709"/>
      <c r="M64" s="1709"/>
      <c r="N64" s="1709"/>
      <c r="O64" s="1709"/>
      <c r="P64" s="1709"/>
      <c r="Q64" s="1709"/>
      <c r="R64" s="1709"/>
      <c r="S64" s="1709"/>
      <c r="T64" s="1709"/>
      <c r="U64" s="1709"/>
      <c r="V64" s="1709"/>
      <c r="W64" s="1709"/>
      <c r="X64" s="1709"/>
      <c r="Y64" s="1709"/>
      <c r="Z64" s="1709"/>
      <c r="AA64" s="1709"/>
      <c r="AB64" s="1709"/>
      <c r="AC64" s="1709"/>
      <c r="AD64" s="1709"/>
      <c r="AE64" s="1709"/>
      <c r="AF64" s="1709"/>
      <c r="AG64" s="1709"/>
      <c r="AH64" s="1709"/>
      <c r="AI64" s="1709"/>
      <c r="AJ64" s="1709"/>
      <c r="AK64" s="1709"/>
      <c r="AL64" s="1709"/>
      <c r="AM64" s="1709"/>
      <c r="AN64" s="1709"/>
      <c r="AO64" s="1709"/>
      <c r="AP64" s="1709"/>
      <c r="AQ64" s="1709"/>
      <c r="AR64" s="1709"/>
      <c r="AS64" s="1709"/>
      <c r="AT64" s="1709"/>
      <c r="AU64" s="1709"/>
      <c r="AV64" s="1709"/>
      <c r="AW64" s="1718"/>
      <c r="AX64" s="1203"/>
      <c r="AY64" s="1203"/>
      <c r="AZ64" s="1203"/>
      <c r="BA64" s="1203"/>
      <c r="BB64" s="1203"/>
      <c r="BC64" s="1203"/>
      <c r="BD64" s="1203"/>
      <c r="BE64" s="1210"/>
    </row>
    <row r="65" spans="1:94" ht="15.75" customHeight="1">
      <c r="A65" s="1203"/>
      <c r="B65" s="1203"/>
      <c r="C65" s="1203"/>
      <c r="D65" s="1203"/>
      <c r="E65" s="1203"/>
      <c r="F65" s="1203"/>
      <c r="G65" s="1203"/>
      <c r="H65" s="1203"/>
      <c r="I65" s="1203"/>
      <c r="J65" s="1203"/>
      <c r="K65" s="1203"/>
      <c r="L65" s="1203"/>
      <c r="M65" s="1203"/>
      <c r="N65" s="1203"/>
      <c r="O65" s="1203"/>
      <c r="P65" s="1203"/>
      <c r="Q65" s="1203"/>
      <c r="R65" s="1203"/>
      <c r="S65" s="1203"/>
      <c r="T65" s="1203"/>
      <c r="U65" s="1203"/>
      <c r="V65" s="1203"/>
      <c r="W65" s="1203"/>
      <c r="X65" s="1203"/>
      <c r="Y65" s="1203"/>
      <c r="Z65" s="1203"/>
      <c r="AA65" s="1203"/>
      <c r="AB65" s="1203"/>
      <c r="AC65" s="1203"/>
      <c r="AD65" s="1203"/>
      <c r="AE65" s="1203"/>
      <c r="AF65" s="1203"/>
      <c r="AG65" s="1203"/>
      <c r="AH65" s="1203"/>
      <c r="AI65" s="1203"/>
      <c r="AJ65" s="1203"/>
      <c r="AK65" s="1203"/>
      <c r="AL65" s="1203"/>
      <c r="AM65" s="1203"/>
      <c r="AN65" s="1203"/>
      <c r="AO65" s="1203"/>
      <c r="AP65" s="1203"/>
      <c r="AQ65" s="1203"/>
      <c r="AR65" s="1203"/>
      <c r="AS65" s="1203"/>
      <c r="AT65" s="1203"/>
      <c r="AU65" s="1203"/>
      <c r="AV65" s="1203"/>
      <c r="AW65" s="1203"/>
      <c r="AX65" s="1203"/>
      <c r="AY65" s="1203"/>
      <c r="AZ65" s="1203"/>
      <c r="BA65" s="1203"/>
      <c r="BB65" s="1203"/>
      <c r="BC65" s="1203"/>
      <c r="BD65" s="1203"/>
      <c r="BE65" s="1210"/>
    </row>
    <row r="66" spans="1:94" ht="15.75" customHeight="1">
      <c r="A66" s="1203"/>
      <c r="B66" s="1214" t="s">
        <v>2020</v>
      </c>
      <c r="C66" s="1214"/>
      <c r="D66" s="1214"/>
      <c r="E66" s="1214"/>
      <c r="F66" s="1214"/>
      <c r="G66" s="1214"/>
      <c r="H66" s="1214"/>
      <c r="I66" s="1214"/>
      <c r="J66" s="1214"/>
      <c r="K66" s="1214"/>
      <c r="L66" s="1203"/>
      <c r="M66" s="1203"/>
      <c r="N66" s="1203"/>
      <c r="O66" s="1203"/>
      <c r="P66" s="1203"/>
      <c r="Q66" s="1203"/>
      <c r="R66" s="1203"/>
      <c r="S66" s="1203"/>
      <c r="T66" s="1203"/>
      <c r="U66" s="1203"/>
      <c r="V66" s="1203"/>
      <c r="W66" s="1203"/>
      <c r="X66" s="1203"/>
      <c r="Y66" s="1203"/>
      <c r="Z66" s="1203"/>
      <c r="AA66" s="1203"/>
      <c r="AB66" s="1203"/>
      <c r="AC66" s="1203"/>
      <c r="AD66" s="1203"/>
      <c r="AE66" s="1203"/>
      <c r="AF66" s="1203"/>
      <c r="AG66" s="1203"/>
      <c r="AH66" s="1203"/>
      <c r="AI66" s="1203"/>
      <c r="AJ66" s="1203"/>
      <c r="AK66" s="1203"/>
      <c r="AL66" s="1203"/>
      <c r="AM66" s="1203"/>
      <c r="AN66" s="1203"/>
      <c r="AO66" s="1203"/>
      <c r="AP66" s="1203"/>
      <c r="AQ66" s="1203"/>
      <c r="AR66" s="1203"/>
      <c r="AS66" s="1203"/>
      <c r="AT66" s="1203"/>
      <c r="AU66" s="1203"/>
      <c r="AV66" s="1203"/>
      <c r="AW66" s="1203"/>
      <c r="AX66" s="1203"/>
      <c r="AY66" s="1203"/>
      <c r="AZ66" s="1203"/>
      <c r="BA66" s="1203"/>
      <c r="BB66" s="1203"/>
      <c r="BC66" s="1203"/>
      <c r="BD66" s="1203"/>
      <c r="BE66" s="1210"/>
    </row>
    <row r="67" spans="1:94" ht="15.75" customHeight="1" thickBot="1">
      <c r="A67" s="1203"/>
      <c r="B67" s="1203"/>
      <c r="C67" s="1203"/>
      <c r="D67" s="1203"/>
      <c r="E67" s="1203"/>
      <c r="F67" s="1203"/>
      <c r="G67" s="1203"/>
      <c r="H67" s="1203"/>
      <c r="I67" s="1203"/>
      <c r="J67" s="1203"/>
      <c r="K67" s="1203"/>
      <c r="L67" s="1203"/>
      <c r="M67" s="1203"/>
      <c r="N67" s="1203"/>
      <c r="O67" s="1203"/>
      <c r="P67" s="1203"/>
      <c r="Q67" s="1203"/>
      <c r="R67" s="1203"/>
      <c r="S67" s="1203"/>
      <c r="T67" s="1203"/>
      <c r="U67" s="1203"/>
      <c r="V67" s="1203"/>
      <c r="W67" s="1203"/>
      <c r="X67" s="1203"/>
      <c r="Y67" s="1203"/>
      <c r="Z67" s="1203"/>
      <c r="AA67" s="1203"/>
      <c r="AB67" s="1203"/>
      <c r="AC67" s="1203"/>
      <c r="AD67" s="1203"/>
      <c r="AE67" s="1203"/>
      <c r="AF67" s="1203"/>
      <c r="AG67" s="1203"/>
      <c r="AH67" s="1203"/>
      <c r="AI67" s="1203"/>
      <c r="AJ67" s="1203"/>
      <c r="AK67" s="1203"/>
      <c r="AL67" s="1203"/>
      <c r="AM67" s="1203"/>
      <c r="AN67" s="1203"/>
      <c r="AO67" s="1203"/>
      <c r="AP67" s="1203"/>
      <c r="AQ67" s="1203"/>
      <c r="AR67" s="1203"/>
      <c r="AS67" s="1203"/>
      <c r="AT67" s="1203"/>
      <c r="AU67" s="1203"/>
      <c r="AV67" s="1203"/>
      <c r="AW67" s="1203"/>
      <c r="AX67" s="1203"/>
      <c r="AY67" s="1203"/>
      <c r="AZ67" s="1203"/>
      <c r="BA67" s="1203"/>
      <c r="BB67" s="1203"/>
      <c r="BC67" s="1203"/>
      <c r="BD67" s="1203"/>
      <c r="BE67" s="1210"/>
    </row>
    <row r="68" spans="1:94" ht="15.75" customHeight="1" thickBot="1">
      <c r="A68" s="1203"/>
      <c r="B68" s="1752" t="s">
        <v>2021</v>
      </c>
      <c r="C68" s="1288"/>
      <c r="D68" s="1288"/>
      <c r="E68" s="1288"/>
      <c r="F68" s="1288"/>
      <c r="G68" s="1288"/>
      <c r="H68" s="1288"/>
      <c r="I68" s="1288"/>
      <c r="J68" s="1288"/>
      <c r="K68" s="1288"/>
      <c r="L68" s="1288"/>
      <c r="M68" s="1288"/>
      <c r="N68" s="1288"/>
      <c r="O68" s="1288"/>
      <c r="P68" s="1288"/>
      <c r="Q68" s="1288"/>
      <c r="R68" s="1288"/>
      <c r="S68" s="1288"/>
      <c r="T68" s="1288"/>
      <c r="U68" s="1288"/>
      <c r="V68" s="1288"/>
      <c r="W68" s="1288"/>
      <c r="X68" s="1288"/>
      <c r="Y68" s="1288"/>
      <c r="Z68" s="1288"/>
      <c r="AA68" s="1285"/>
      <c r="AB68" s="1203"/>
      <c r="AC68" s="1733" t="s">
        <v>2022</v>
      </c>
      <c r="AD68" s="1288"/>
      <c r="AE68" s="1288"/>
      <c r="AF68" s="1288"/>
      <c r="AG68" s="1288"/>
      <c r="AH68" s="1288"/>
      <c r="AI68" s="1288"/>
      <c r="AJ68" s="1288"/>
      <c r="AK68" s="1288"/>
      <c r="AL68" s="1288"/>
      <c r="AM68" s="1288"/>
      <c r="AN68" s="1288"/>
      <c r="AO68" s="1288"/>
      <c r="AP68" s="1288"/>
      <c r="AQ68" s="1288"/>
      <c r="AR68" s="1288"/>
      <c r="AS68" s="1288"/>
      <c r="AT68" s="1288"/>
      <c r="AU68" s="1272"/>
      <c r="AV68" s="1761" t="s">
        <v>811</v>
      </c>
      <c r="AW68" s="1762"/>
      <c r="AX68" s="1762"/>
      <c r="AY68" s="1762"/>
      <c r="AZ68" s="1762"/>
      <c r="BA68" s="1762"/>
      <c r="BB68" s="1762"/>
      <c r="BC68" s="1763"/>
      <c r="BD68" s="1203"/>
      <c r="BE68" s="1210"/>
      <c r="BM68" s="1216" t="s">
        <v>2023</v>
      </c>
    </row>
    <row r="69" spans="1:94" ht="15.75" customHeight="1" thickTop="1" thickBot="1">
      <c r="A69" s="1203"/>
      <c r="B69" s="1827" t="s">
        <v>2024</v>
      </c>
      <c r="C69" s="1263"/>
      <c r="D69" s="1263"/>
      <c r="E69" s="1263"/>
      <c r="F69" s="1263"/>
      <c r="G69" s="1263"/>
      <c r="H69" s="1263"/>
      <c r="I69" s="1263"/>
      <c r="J69" s="1263"/>
      <c r="K69" s="1263"/>
      <c r="L69" s="1263"/>
      <c r="M69" s="1263"/>
      <c r="N69" s="1264"/>
      <c r="O69" s="1816" t="s">
        <v>2025</v>
      </c>
      <c r="P69" s="1263"/>
      <c r="Q69" s="1263"/>
      <c r="R69" s="1263"/>
      <c r="S69" s="1263"/>
      <c r="T69" s="1263"/>
      <c r="U69" s="1263"/>
      <c r="V69" s="1263"/>
      <c r="W69" s="1263"/>
      <c r="X69" s="1263"/>
      <c r="Y69" s="1263"/>
      <c r="Z69" s="1263"/>
      <c r="AA69" s="1268"/>
      <c r="AB69" s="1203"/>
      <c r="AC69" s="1833" t="s">
        <v>2026</v>
      </c>
      <c r="AD69" s="1685"/>
      <c r="AE69" s="1685"/>
      <c r="AF69" s="1685"/>
      <c r="AG69" s="1685"/>
      <c r="AH69" s="1685"/>
      <c r="AI69" s="1685"/>
      <c r="AJ69" s="1685"/>
      <c r="AK69" s="1685"/>
      <c r="AL69" s="1685"/>
      <c r="AM69" s="1685"/>
      <c r="AN69" s="1685"/>
      <c r="AO69" s="1685"/>
      <c r="AP69" s="1685"/>
      <c r="AQ69" s="1685"/>
      <c r="AR69" s="1685"/>
      <c r="AS69" s="1685"/>
      <c r="AT69" s="1685"/>
      <c r="AU69" s="1279"/>
      <c r="AV69" s="1761" t="s">
        <v>811</v>
      </c>
      <c r="AW69" s="1762"/>
      <c r="AX69" s="1762"/>
      <c r="AY69" s="1762"/>
      <c r="AZ69" s="1762"/>
      <c r="BA69" s="1762"/>
      <c r="BB69" s="1762"/>
      <c r="BC69" s="1763"/>
      <c r="BD69" s="1203"/>
      <c r="BE69" s="1210"/>
      <c r="BM69" s="1217" t="s">
        <v>969</v>
      </c>
    </row>
    <row r="70" spans="1:94" ht="15.75" customHeight="1">
      <c r="A70" s="1203"/>
      <c r="B70" s="1700" t="s">
        <v>2027</v>
      </c>
      <c r="C70" s="1374"/>
      <c r="D70" s="1374"/>
      <c r="E70" s="1374"/>
      <c r="F70" s="1374"/>
      <c r="G70" s="1374"/>
      <c r="H70" s="1374"/>
      <c r="I70" s="1374"/>
      <c r="J70" s="1374"/>
      <c r="K70" s="1374"/>
      <c r="L70" s="1374"/>
      <c r="M70" s="1374"/>
      <c r="N70" s="1375"/>
      <c r="O70" s="1686">
        <v>0</v>
      </c>
      <c r="P70" s="1374"/>
      <c r="Q70" s="1374"/>
      <c r="R70" s="1374"/>
      <c r="S70" s="1374"/>
      <c r="T70" s="1374"/>
      <c r="U70" s="1374"/>
      <c r="V70" s="1374"/>
      <c r="W70" s="1374"/>
      <c r="X70" s="1374"/>
      <c r="Y70" s="1374"/>
      <c r="Z70" s="1374"/>
      <c r="AA70" s="1375"/>
      <c r="AB70" s="1203"/>
      <c r="AC70" s="1726" t="s">
        <v>2028</v>
      </c>
      <c r="AD70" s="1288"/>
      <c r="AE70" s="1272"/>
      <c r="AF70" s="1891"/>
      <c r="AG70" s="1762"/>
      <c r="AH70" s="1762"/>
      <c r="AI70" s="1762"/>
      <c r="AJ70" s="1762"/>
      <c r="AK70" s="1762"/>
      <c r="AL70" s="1762"/>
      <c r="AM70" s="1762"/>
      <c r="AN70" s="1762"/>
      <c r="AO70" s="1762"/>
      <c r="AP70" s="1762"/>
      <c r="AQ70" s="1762"/>
      <c r="AR70" s="1762"/>
      <c r="AS70" s="1762"/>
      <c r="AT70" s="1762"/>
      <c r="AU70" s="1763"/>
      <c r="AV70" s="1203"/>
      <c r="AW70" s="1203"/>
      <c r="AX70" s="1203"/>
      <c r="AY70" s="1203"/>
      <c r="AZ70" s="1203"/>
      <c r="BA70" s="1203"/>
      <c r="BB70" s="1203"/>
      <c r="BC70" s="1203"/>
      <c r="BD70" s="1203"/>
      <c r="BE70" s="1210"/>
      <c r="BM70" s="1218" t="s">
        <v>811</v>
      </c>
    </row>
    <row r="71" spans="1:94" ht="15.75" customHeight="1" thickBot="1">
      <c r="A71" s="1203"/>
      <c r="B71" s="1700" t="s">
        <v>2029</v>
      </c>
      <c r="C71" s="1374"/>
      <c r="D71" s="1374"/>
      <c r="E71" s="1374"/>
      <c r="F71" s="1374"/>
      <c r="G71" s="1374"/>
      <c r="H71" s="1374"/>
      <c r="I71" s="1374"/>
      <c r="J71" s="1374"/>
      <c r="K71" s="1374"/>
      <c r="L71" s="1374"/>
      <c r="M71" s="1374"/>
      <c r="N71" s="1375"/>
      <c r="O71" s="1686">
        <v>0</v>
      </c>
      <c r="P71" s="1374"/>
      <c r="Q71" s="1374"/>
      <c r="R71" s="1374"/>
      <c r="S71" s="1374"/>
      <c r="T71" s="1374"/>
      <c r="U71" s="1374"/>
      <c r="V71" s="1374"/>
      <c r="W71" s="1374"/>
      <c r="X71" s="1374"/>
      <c r="Y71" s="1374"/>
      <c r="Z71" s="1374"/>
      <c r="AA71" s="1375"/>
      <c r="AB71" s="1203"/>
      <c r="AC71" s="1838" t="s">
        <v>2030</v>
      </c>
      <c r="AD71" s="1685"/>
      <c r="AE71" s="1279"/>
      <c r="AF71" s="1814"/>
      <c r="AG71" s="1709"/>
      <c r="AH71" s="1709"/>
      <c r="AI71" s="1709"/>
      <c r="AJ71" s="1709"/>
      <c r="AK71" s="1709"/>
      <c r="AL71" s="1709"/>
      <c r="AM71" s="1709"/>
      <c r="AN71" s="1709"/>
      <c r="AO71" s="1709"/>
      <c r="AP71" s="1709"/>
      <c r="AQ71" s="1709"/>
      <c r="AR71" s="1709"/>
      <c r="AS71" s="1709"/>
      <c r="AT71" s="1709"/>
      <c r="AU71" s="1718"/>
      <c r="AV71" s="1203"/>
      <c r="AW71" s="1203"/>
      <c r="AX71" s="1203"/>
      <c r="AY71" s="1203"/>
      <c r="AZ71" s="1203"/>
      <c r="BA71" s="1203"/>
      <c r="BB71" s="1203"/>
      <c r="BC71" s="1203"/>
      <c r="BD71" s="1203"/>
      <c r="BE71" s="1210"/>
      <c r="BM71" s="1199" t="s">
        <v>2031</v>
      </c>
    </row>
    <row r="72" spans="1:94" ht="15.75" customHeight="1">
      <c r="A72" s="1203"/>
      <c r="B72" s="1700" t="s">
        <v>2032</v>
      </c>
      <c r="C72" s="1374"/>
      <c r="D72" s="1374"/>
      <c r="E72" s="1374"/>
      <c r="F72" s="1374"/>
      <c r="G72" s="1374"/>
      <c r="H72" s="1374"/>
      <c r="I72" s="1374"/>
      <c r="J72" s="1374"/>
      <c r="K72" s="1374"/>
      <c r="L72" s="1374"/>
      <c r="M72" s="1374"/>
      <c r="N72" s="1375"/>
      <c r="O72" s="1686">
        <v>0</v>
      </c>
      <c r="P72" s="1374"/>
      <c r="Q72" s="1374"/>
      <c r="R72" s="1374"/>
      <c r="S72" s="1374"/>
      <c r="T72" s="1374"/>
      <c r="U72" s="1374"/>
      <c r="V72" s="1374"/>
      <c r="W72" s="1374"/>
      <c r="X72" s="1374"/>
      <c r="Y72" s="1374"/>
      <c r="Z72" s="1374"/>
      <c r="AA72" s="1375"/>
      <c r="AB72" s="1203"/>
      <c r="AC72" s="1854" t="s">
        <v>2033</v>
      </c>
      <c r="AD72" s="1405"/>
      <c r="AE72" s="1405"/>
      <c r="AF72" s="1405"/>
      <c r="AG72" s="1405"/>
      <c r="AH72" s="1405"/>
      <c r="AI72" s="1405"/>
      <c r="AJ72" s="1405"/>
      <c r="AK72" s="1405"/>
      <c r="AL72" s="1405"/>
      <c r="AM72" s="1405"/>
      <c r="AN72" s="1405"/>
      <c r="AO72" s="1405"/>
      <c r="AP72" s="1405"/>
      <c r="AQ72" s="1405"/>
      <c r="AR72" s="1405"/>
      <c r="AS72" s="1405"/>
      <c r="AT72" s="1405"/>
      <c r="AU72" s="1405"/>
      <c r="AV72" s="1405"/>
      <c r="AW72" s="1405"/>
      <c r="AX72" s="1405"/>
      <c r="AY72" s="1405"/>
      <c r="AZ72" s="1405"/>
      <c r="BA72" s="1405"/>
      <c r="BB72" s="1405"/>
      <c r="BC72" s="1296"/>
      <c r="BD72" s="1203"/>
      <c r="BE72" s="1210"/>
    </row>
    <row r="73" spans="1:94" ht="15.75" customHeight="1">
      <c r="A73" s="1203"/>
      <c r="B73" s="1694" t="s">
        <v>2034</v>
      </c>
      <c r="C73" s="1374"/>
      <c r="D73" s="1374"/>
      <c r="E73" s="1374"/>
      <c r="F73" s="1374"/>
      <c r="G73" s="1374"/>
      <c r="H73" s="1374"/>
      <c r="I73" s="1374"/>
      <c r="J73" s="1374"/>
      <c r="K73" s="1374"/>
      <c r="L73" s="1374"/>
      <c r="M73" s="1374"/>
      <c r="N73" s="1375"/>
      <c r="O73" s="1686">
        <v>0</v>
      </c>
      <c r="P73" s="1374"/>
      <c r="Q73" s="1374"/>
      <c r="R73" s="1374"/>
      <c r="S73" s="1374"/>
      <c r="T73" s="1374"/>
      <c r="U73" s="1374"/>
      <c r="V73" s="1374"/>
      <c r="W73" s="1374"/>
      <c r="X73" s="1374"/>
      <c r="Y73" s="1374"/>
      <c r="Z73" s="1374"/>
      <c r="AA73" s="1375"/>
      <c r="AB73" s="1203"/>
      <c r="AC73" s="1711" t="s">
        <v>2035</v>
      </c>
      <c r="AD73" s="1470"/>
      <c r="AE73" s="1470"/>
      <c r="AF73" s="1470"/>
      <c r="AG73" s="1470"/>
      <c r="AH73" s="1470"/>
      <c r="AI73" s="1470"/>
      <c r="AJ73" s="1470"/>
      <c r="AK73" s="1470"/>
      <c r="AL73" s="1470"/>
      <c r="AM73" s="1470"/>
      <c r="AN73" s="1470"/>
      <c r="AO73" s="1470"/>
      <c r="AP73" s="1470"/>
      <c r="AQ73" s="1470"/>
      <c r="AR73" s="1470"/>
      <c r="AS73" s="1470"/>
      <c r="AT73" s="1470"/>
      <c r="AU73" s="1470"/>
      <c r="AV73" s="1470"/>
      <c r="AW73" s="1470"/>
      <c r="AX73" s="1470"/>
      <c r="AY73" s="1470"/>
      <c r="AZ73" s="1470"/>
      <c r="BA73" s="1470"/>
      <c r="BB73" s="1470"/>
      <c r="BC73" s="1471"/>
      <c r="BD73" s="1203"/>
      <c r="BE73" s="1210"/>
      <c r="CK73" s="1201"/>
      <c r="CL73" s="1201"/>
      <c r="CM73" s="1201"/>
      <c r="CN73" s="1201"/>
      <c r="CO73" s="1201"/>
      <c r="CP73" s="1201"/>
    </row>
    <row r="74" spans="1:94" ht="15.75" customHeight="1">
      <c r="A74" s="1203"/>
      <c r="B74" s="1715"/>
      <c r="C74" s="1374"/>
      <c r="D74" s="1374"/>
      <c r="E74" s="1374"/>
      <c r="F74" s="1374"/>
      <c r="G74" s="1374"/>
      <c r="H74" s="1374"/>
      <c r="I74" s="1374"/>
      <c r="J74" s="1374"/>
      <c r="K74" s="1374"/>
      <c r="L74" s="1374"/>
      <c r="M74" s="1374"/>
      <c r="N74" s="1375"/>
      <c r="O74" s="1686"/>
      <c r="P74" s="1374"/>
      <c r="Q74" s="1374"/>
      <c r="R74" s="1374"/>
      <c r="S74" s="1374"/>
      <c r="T74" s="1374"/>
      <c r="U74" s="1374"/>
      <c r="V74" s="1374"/>
      <c r="W74" s="1374"/>
      <c r="X74" s="1374"/>
      <c r="Y74" s="1374"/>
      <c r="Z74" s="1374"/>
      <c r="AA74" s="1375"/>
      <c r="AB74" s="1203"/>
      <c r="AC74" s="1712"/>
      <c r="AD74" s="1293"/>
      <c r="AE74" s="1293"/>
      <c r="AF74" s="1293"/>
      <c r="AG74" s="1293"/>
      <c r="AH74" s="1293"/>
      <c r="AI74" s="1293"/>
      <c r="AJ74" s="1293"/>
      <c r="AK74" s="1293"/>
      <c r="AL74" s="1293"/>
      <c r="AM74" s="1293"/>
      <c r="AN74" s="1293"/>
      <c r="AO74" s="1293"/>
      <c r="AP74" s="1293"/>
      <c r="AQ74" s="1293"/>
      <c r="AR74" s="1293"/>
      <c r="AS74" s="1293"/>
      <c r="AT74" s="1293"/>
      <c r="AU74" s="1293"/>
      <c r="AV74" s="1293"/>
      <c r="AW74" s="1293"/>
      <c r="AX74" s="1293"/>
      <c r="AY74" s="1293"/>
      <c r="AZ74" s="1293"/>
      <c r="BA74" s="1293"/>
      <c r="BB74" s="1293"/>
      <c r="BC74" s="1713"/>
      <c r="BD74" s="1203"/>
      <c r="BE74" s="1210"/>
      <c r="CK74" s="1201"/>
      <c r="CL74" s="1201"/>
      <c r="CM74" s="1201"/>
      <c r="CN74" s="1201"/>
      <c r="CO74" s="1201"/>
      <c r="CP74" s="1201"/>
    </row>
    <row r="75" spans="1:94" ht="15.75" customHeight="1" thickBot="1">
      <c r="A75" s="1203"/>
      <c r="B75" s="1853" t="s">
        <v>1555</v>
      </c>
      <c r="C75" s="1688"/>
      <c r="D75" s="1688"/>
      <c r="E75" s="1688"/>
      <c r="F75" s="1688"/>
      <c r="G75" s="1688"/>
      <c r="H75" s="1688"/>
      <c r="I75" s="1688"/>
      <c r="J75" s="1688"/>
      <c r="K75" s="1688"/>
      <c r="L75" s="1688"/>
      <c r="M75" s="1688"/>
      <c r="N75" s="1689"/>
      <c r="O75" s="1783">
        <f>SUM(O70:AA74)</f>
        <v>0</v>
      </c>
      <c r="P75" s="1688"/>
      <c r="Q75" s="1688"/>
      <c r="R75" s="1688"/>
      <c r="S75" s="1688"/>
      <c r="T75" s="1688"/>
      <c r="U75" s="1688"/>
      <c r="V75" s="1688"/>
      <c r="W75" s="1688"/>
      <c r="X75" s="1688"/>
      <c r="Y75" s="1688"/>
      <c r="Z75" s="1688"/>
      <c r="AA75" s="1689"/>
      <c r="AB75" s="1203"/>
      <c r="AC75" s="1712"/>
      <c r="AD75" s="1293"/>
      <c r="AE75" s="1293"/>
      <c r="AF75" s="1293"/>
      <c r="AG75" s="1293"/>
      <c r="AH75" s="1293"/>
      <c r="AI75" s="1293"/>
      <c r="AJ75" s="1293"/>
      <c r="AK75" s="1293"/>
      <c r="AL75" s="1293"/>
      <c r="AM75" s="1293"/>
      <c r="AN75" s="1293"/>
      <c r="AO75" s="1293"/>
      <c r="AP75" s="1293"/>
      <c r="AQ75" s="1293"/>
      <c r="AR75" s="1293"/>
      <c r="AS75" s="1293"/>
      <c r="AT75" s="1293"/>
      <c r="AU75" s="1293"/>
      <c r="AV75" s="1293"/>
      <c r="AW75" s="1293"/>
      <c r="AX75" s="1293"/>
      <c r="AY75" s="1293"/>
      <c r="AZ75" s="1293"/>
      <c r="BA75" s="1293"/>
      <c r="BB75" s="1293"/>
      <c r="BC75" s="1713"/>
      <c r="BD75" s="1203"/>
      <c r="BE75" s="1210"/>
      <c r="CK75" s="1201"/>
      <c r="CL75" s="1201"/>
      <c r="CM75" s="1201"/>
      <c r="CN75" s="1201"/>
      <c r="CO75" s="1201"/>
      <c r="CP75" s="1201"/>
    </row>
    <row r="76" spans="1:94" ht="15.75" customHeight="1">
      <c r="A76" s="1203"/>
      <c r="B76" s="1203"/>
      <c r="C76" s="1203"/>
      <c r="D76" s="1203"/>
      <c r="E76" s="1203"/>
      <c r="F76" s="1203"/>
      <c r="G76" s="1203"/>
      <c r="H76" s="1203"/>
      <c r="I76" s="1203"/>
      <c r="J76" s="1203"/>
      <c r="K76" s="1203"/>
      <c r="L76" s="1203"/>
      <c r="M76" s="1203"/>
      <c r="N76" s="1203"/>
      <c r="O76" s="1203"/>
      <c r="P76" s="1203"/>
      <c r="Q76" s="1203"/>
      <c r="R76" s="1203"/>
      <c r="S76" s="1203"/>
      <c r="T76" s="1203"/>
      <c r="U76" s="1203"/>
      <c r="V76" s="1203"/>
      <c r="W76" s="1203"/>
      <c r="X76" s="1203"/>
      <c r="Y76" s="1203"/>
      <c r="Z76" s="1203"/>
      <c r="AA76" s="1203"/>
      <c r="AB76" s="1203"/>
      <c r="AC76" s="1712"/>
      <c r="AD76" s="1293"/>
      <c r="AE76" s="1293"/>
      <c r="AF76" s="1293"/>
      <c r="AG76" s="1293"/>
      <c r="AH76" s="1293"/>
      <c r="AI76" s="1293"/>
      <c r="AJ76" s="1293"/>
      <c r="AK76" s="1293"/>
      <c r="AL76" s="1293"/>
      <c r="AM76" s="1293"/>
      <c r="AN76" s="1293"/>
      <c r="AO76" s="1293"/>
      <c r="AP76" s="1293"/>
      <c r="AQ76" s="1293"/>
      <c r="AR76" s="1293"/>
      <c r="AS76" s="1293"/>
      <c r="AT76" s="1293"/>
      <c r="AU76" s="1293"/>
      <c r="AV76" s="1293"/>
      <c r="AW76" s="1293"/>
      <c r="AX76" s="1293"/>
      <c r="AY76" s="1293"/>
      <c r="AZ76" s="1293"/>
      <c r="BA76" s="1293"/>
      <c r="BB76" s="1293"/>
      <c r="BC76" s="1713"/>
      <c r="BD76" s="1203"/>
      <c r="BE76" s="1210"/>
      <c r="CK76" s="1201"/>
      <c r="CL76" s="1201"/>
      <c r="CM76" s="1201"/>
      <c r="CN76" s="1201"/>
      <c r="CO76" s="1201"/>
      <c r="CP76" s="1201"/>
    </row>
    <row r="77" spans="1:94" ht="15.75" customHeight="1" thickBot="1">
      <c r="A77" s="1203"/>
      <c r="B77" s="1203"/>
      <c r="C77" s="1203"/>
      <c r="D77" s="1203"/>
      <c r="E77" s="1203"/>
      <c r="F77" s="1203"/>
      <c r="G77" s="1203"/>
      <c r="H77" s="1203"/>
      <c r="I77" s="1203"/>
      <c r="J77" s="1203"/>
      <c r="K77" s="1203"/>
      <c r="L77" s="1203"/>
      <c r="M77" s="1203"/>
      <c r="N77" s="1203"/>
      <c r="O77" s="1203"/>
      <c r="P77" s="1203"/>
      <c r="Q77" s="1203"/>
      <c r="R77" s="1203"/>
      <c r="S77" s="1203"/>
      <c r="T77" s="1203"/>
      <c r="U77" s="1203"/>
      <c r="V77" s="1203"/>
      <c r="W77" s="1203"/>
      <c r="X77" s="1203"/>
      <c r="Y77" s="1203"/>
      <c r="Z77" s="1203"/>
      <c r="AA77" s="1203"/>
      <c r="AB77" s="1203"/>
      <c r="AC77" s="1714"/>
      <c r="AD77" s="1294"/>
      <c r="AE77" s="1294"/>
      <c r="AF77" s="1294"/>
      <c r="AG77" s="1294"/>
      <c r="AH77" s="1294"/>
      <c r="AI77" s="1294"/>
      <c r="AJ77" s="1294"/>
      <c r="AK77" s="1294"/>
      <c r="AL77" s="1294"/>
      <c r="AM77" s="1294"/>
      <c r="AN77" s="1294"/>
      <c r="AO77" s="1294"/>
      <c r="AP77" s="1294"/>
      <c r="AQ77" s="1294"/>
      <c r="AR77" s="1294"/>
      <c r="AS77" s="1294"/>
      <c r="AT77" s="1294"/>
      <c r="AU77" s="1294"/>
      <c r="AV77" s="1294"/>
      <c r="AW77" s="1294"/>
      <c r="AX77" s="1294"/>
      <c r="AY77" s="1294"/>
      <c r="AZ77" s="1294"/>
      <c r="BA77" s="1294"/>
      <c r="BB77" s="1294"/>
      <c r="BC77" s="1388"/>
      <c r="BD77" s="1203"/>
      <c r="BE77" s="1210"/>
      <c r="CK77" s="1201"/>
      <c r="CL77" s="1201"/>
      <c r="CM77" s="1201"/>
      <c r="CN77" s="1201"/>
      <c r="CO77" s="1201"/>
      <c r="CP77" s="1201"/>
    </row>
    <row r="78" spans="1:94" ht="15.75" customHeight="1" thickBot="1">
      <c r="A78" s="1203"/>
      <c r="B78" s="1219" t="s">
        <v>2036</v>
      </c>
      <c r="C78" s="1220"/>
      <c r="D78" s="1221"/>
      <c r="E78" s="1221"/>
      <c r="F78" s="1221"/>
      <c r="G78" s="1221"/>
      <c r="H78" s="1221"/>
      <c r="I78" s="1221"/>
      <c r="J78" s="1221"/>
      <c r="K78" s="1221"/>
      <c r="L78" s="1221"/>
      <c r="M78" s="1221"/>
      <c r="N78" s="1221"/>
      <c r="O78" s="1221"/>
      <c r="P78" s="1221"/>
      <c r="Q78" s="1221"/>
      <c r="R78" s="1221"/>
      <c r="S78" s="1221"/>
      <c r="T78" s="1222"/>
      <c r="U78" s="1203"/>
      <c r="V78" s="1203"/>
      <c r="W78" s="1203"/>
      <c r="X78" s="1203"/>
      <c r="Y78" s="1203"/>
      <c r="Z78" s="1203"/>
      <c r="AA78" s="1203"/>
      <c r="AB78" s="1203"/>
      <c r="AC78" s="1203"/>
      <c r="AD78" s="1203"/>
      <c r="AE78" s="1203"/>
      <c r="AF78" s="1203"/>
      <c r="AG78" s="1203"/>
      <c r="AH78" s="1203"/>
      <c r="AI78" s="1203"/>
      <c r="AJ78" s="1203"/>
      <c r="AK78" s="1203"/>
      <c r="AL78" s="1203"/>
      <c r="AM78" s="1203"/>
      <c r="AN78" s="1203"/>
      <c r="AO78" s="1203"/>
      <c r="AP78" s="1203"/>
      <c r="AQ78" s="1203"/>
      <c r="AR78" s="1203"/>
      <c r="AS78" s="1203"/>
      <c r="AT78" s="1203"/>
      <c r="AU78" s="1203"/>
      <c r="AV78" s="1203"/>
      <c r="AW78" s="1203"/>
      <c r="AX78" s="1203"/>
      <c r="AY78" s="1203"/>
      <c r="AZ78" s="1203"/>
      <c r="BA78" s="1203"/>
      <c r="BB78" s="1203"/>
      <c r="BC78" s="1203"/>
      <c r="BD78" s="1203"/>
      <c r="BE78" s="1210"/>
      <c r="CK78" s="1201"/>
      <c r="CL78" s="1201"/>
      <c r="CM78" s="1201"/>
      <c r="CN78" s="1201"/>
      <c r="CO78" s="1201"/>
      <c r="CP78" s="1201"/>
    </row>
    <row r="79" spans="1:94" ht="15.75" customHeight="1">
      <c r="A79" s="1203"/>
      <c r="B79" s="1219" t="s">
        <v>2037</v>
      </c>
      <c r="C79" s="1223"/>
      <c r="D79" s="1223"/>
      <c r="E79" s="1224"/>
      <c r="F79" s="1769"/>
      <c r="G79" s="1294"/>
      <c r="H79" s="1294"/>
      <c r="I79" s="1294"/>
      <c r="J79" s="1294"/>
      <c r="K79" s="1294"/>
      <c r="L79" s="1294"/>
      <c r="M79" s="1294"/>
      <c r="N79" s="1294"/>
      <c r="O79" s="1294"/>
      <c r="P79" s="1294"/>
      <c r="Q79" s="1294"/>
      <c r="R79" s="1294"/>
      <c r="S79" s="1294"/>
      <c r="T79" s="1770"/>
      <c r="U79" s="1203"/>
      <c r="V79" s="1203"/>
      <c r="W79" s="1203"/>
      <c r="X79" s="1203"/>
      <c r="Y79" s="1203"/>
      <c r="Z79" s="1203"/>
      <c r="AA79" s="1203"/>
      <c r="AB79" s="1203"/>
      <c r="AC79" s="1203"/>
      <c r="AD79" s="1203"/>
      <c r="AE79" s="1203"/>
      <c r="AF79" s="1203"/>
      <c r="AG79" s="1203"/>
      <c r="AH79" s="1203"/>
      <c r="AI79" s="1203"/>
      <c r="AJ79" s="1203"/>
      <c r="AK79" s="1203"/>
      <c r="AL79" s="1203"/>
      <c r="AM79" s="1203"/>
      <c r="AN79" s="1203"/>
      <c r="AO79" s="1203"/>
      <c r="AP79" s="1203"/>
      <c r="AQ79" s="1203"/>
      <c r="AR79" s="1203"/>
      <c r="AS79" s="1203"/>
      <c r="AT79" s="1203"/>
      <c r="AU79" s="1203"/>
      <c r="AV79" s="1203"/>
      <c r="AW79" s="1203"/>
      <c r="AX79" s="1203"/>
      <c r="AY79" s="1203"/>
      <c r="AZ79" s="1203"/>
      <c r="BA79" s="1203"/>
      <c r="BB79" s="1203"/>
      <c r="BC79" s="1203"/>
      <c r="BD79" s="1203"/>
      <c r="BE79" s="1210"/>
      <c r="CK79" s="1201"/>
      <c r="CL79" s="1201"/>
      <c r="CM79" s="1201"/>
      <c r="CN79" s="1201"/>
      <c r="CO79" s="1201"/>
      <c r="CP79" s="1201"/>
    </row>
    <row r="80" spans="1:94" ht="15.75" customHeight="1" thickBot="1">
      <c r="A80" s="1203"/>
      <c r="B80" s="1203" t="s">
        <v>2038</v>
      </c>
      <c r="C80" s="1203"/>
      <c r="D80" s="1203"/>
      <c r="E80" s="1203"/>
      <c r="F80" s="1203"/>
      <c r="G80" s="1203"/>
      <c r="H80" s="1203"/>
      <c r="I80" s="1203"/>
      <c r="J80" s="1203"/>
      <c r="K80" s="1203"/>
      <c r="L80" s="1203"/>
      <c r="M80" s="1203"/>
      <c r="N80" s="1203"/>
      <c r="O80" s="1203"/>
      <c r="P80" s="1203"/>
      <c r="Q80" s="1203"/>
      <c r="R80" s="1203"/>
      <c r="S80" s="1203"/>
      <c r="T80" s="1203"/>
      <c r="U80" s="1203"/>
      <c r="V80" s="1203"/>
      <c r="W80" s="1203"/>
      <c r="X80" s="1203"/>
      <c r="Y80" s="1203"/>
      <c r="Z80" s="1203"/>
      <c r="AA80" s="1203"/>
      <c r="AB80" s="1203"/>
      <c r="AC80" s="1203"/>
      <c r="AD80" s="1203"/>
      <c r="AE80" s="1203"/>
      <c r="AF80" s="1203"/>
      <c r="AG80" s="1203"/>
      <c r="AH80" s="1203"/>
      <c r="AI80" s="1203"/>
      <c r="AJ80" s="1203"/>
      <c r="AK80" s="1203"/>
      <c r="AL80" s="1203"/>
      <c r="AM80" s="1203"/>
      <c r="AN80" s="1203"/>
      <c r="AO80" s="1203"/>
      <c r="AP80" s="1203"/>
      <c r="AQ80" s="1203"/>
      <c r="AR80" s="1203"/>
      <c r="AS80" s="1203"/>
      <c r="AT80" s="1203"/>
      <c r="AU80" s="1203"/>
      <c r="AV80" s="1203"/>
      <c r="AW80" s="1203"/>
      <c r="AX80" s="1203"/>
      <c r="AY80" s="1203"/>
      <c r="AZ80" s="1203"/>
      <c r="BA80" s="1203"/>
      <c r="BB80" s="1203"/>
      <c r="BC80" s="1203"/>
      <c r="BD80" s="1203"/>
      <c r="BE80" s="1210"/>
      <c r="CK80" s="1201"/>
      <c r="CL80" s="1201"/>
      <c r="CM80" s="1201"/>
      <c r="CN80" s="1201"/>
      <c r="CO80" s="1201"/>
      <c r="CP80" s="1201"/>
    </row>
    <row r="81" spans="1:94" ht="15.75" customHeight="1">
      <c r="A81" s="1203"/>
      <c r="B81" s="1857" t="s">
        <v>2039</v>
      </c>
      <c r="C81" s="1288"/>
      <c r="D81" s="1288"/>
      <c r="E81" s="1288"/>
      <c r="F81" s="1288"/>
      <c r="G81" s="1288"/>
      <c r="H81" s="1288"/>
      <c r="I81" s="1288"/>
      <c r="J81" s="1288"/>
      <c r="K81" s="1288"/>
      <c r="L81" s="1288"/>
      <c r="M81" s="1288"/>
      <c r="N81" s="1288"/>
      <c r="O81" s="1288"/>
      <c r="P81" s="1288"/>
      <c r="Q81" s="1288"/>
      <c r="R81" s="1288"/>
      <c r="S81" s="1288"/>
      <c r="T81" s="1288"/>
      <c r="U81" s="1288"/>
      <c r="V81" s="1288"/>
      <c r="W81" s="1288"/>
      <c r="X81" s="1288"/>
      <c r="Y81" s="1288"/>
      <c r="Z81" s="1288"/>
      <c r="AA81" s="1288"/>
      <c r="AB81" s="1288"/>
      <c r="AC81" s="1288"/>
      <c r="AD81" s="1288"/>
      <c r="AE81" s="1288"/>
      <c r="AF81" s="1288"/>
      <c r="AG81" s="1288"/>
      <c r="AH81" s="1272"/>
      <c r="AI81" s="1203"/>
      <c r="AJ81" s="1757" t="s">
        <v>2040</v>
      </c>
      <c r="AK81" s="1743"/>
      <c r="AL81" s="1743"/>
      <c r="AM81" s="1743"/>
      <c r="AN81" s="1743"/>
      <c r="AO81" s="1743"/>
      <c r="AP81" s="1743"/>
      <c r="AQ81" s="1743"/>
      <c r="AR81" s="1743"/>
      <c r="AS81" s="1743"/>
      <c r="AT81" s="1743"/>
      <c r="AU81" s="1743"/>
      <c r="AV81" s="1743"/>
      <c r="AW81" s="1743"/>
      <c r="AX81" s="1758"/>
      <c r="AY81" s="1722" t="s">
        <v>969</v>
      </c>
      <c r="AZ81" s="1723"/>
      <c r="BA81" s="1723"/>
      <c r="BB81" s="1724"/>
      <c r="BC81" s="1203"/>
      <c r="BD81" s="1203"/>
      <c r="BE81" s="1210"/>
      <c r="CK81" s="1201"/>
      <c r="CL81" s="1201"/>
      <c r="CM81" s="1201"/>
      <c r="CN81" s="1201"/>
      <c r="CO81" s="1201"/>
      <c r="CP81" s="1201"/>
    </row>
    <row r="82" spans="1:94" ht="15.75" customHeight="1">
      <c r="A82" s="1203"/>
      <c r="B82" s="1707"/>
      <c r="C82" s="1417"/>
      <c r="D82" s="1417"/>
      <c r="E82" s="1417"/>
      <c r="F82" s="1417"/>
      <c r="G82" s="1417"/>
      <c r="H82" s="1423"/>
      <c r="I82" s="1749" t="s">
        <v>2041</v>
      </c>
      <c r="J82" s="1417"/>
      <c r="K82" s="1417"/>
      <c r="L82" s="1417"/>
      <c r="M82" s="1417"/>
      <c r="N82" s="1423"/>
      <c r="O82" s="1749" t="s">
        <v>2042</v>
      </c>
      <c r="P82" s="1417"/>
      <c r="Q82" s="1417"/>
      <c r="R82" s="1417"/>
      <c r="S82" s="1417"/>
      <c r="T82" s="1417"/>
      <c r="U82" s="1423"/>
      <c r="V82" s="1787" t="s">
        <v>2043</v>
      </c>
      <c r="W82" s="1417"/>
      <c r="X82" s="1417"/>
      <c r="Y82" s="1417"/>
      <c r="Z82" s="1417"/>
      <c r="AA82" s="1423"/>
      <c r="AB82" s="1804" t="s">
        <v>2044</v>
      </c>
      <c r="AC82" s="1417"/>
      <c r="AD82" s="1417"/>
      <c r="AE82" s="1417"/>
      <c r="AF82" s="1417"/>
      <c r="AG82" s="1417"/>
      <c r="AH82" s="1423"/>
      <c r="AI82" s="1203"/>
      <c r="AJ82" s="1759"/>
      <c r="AK82" s="1702"/>
      <c r="AL82" s="1702"/>
      <c r="AM82" s="1702"/>
      <c r="AN82" s="1702"/>
      <c r="AO82" s="1702"/>
      <c r="AP82" s="1702"/>
      <c r="AQ82" s="1702"/>
      <c r="AR82" s="1702"/>
      <c r="AS82" s="1702"/>
      <c r="AT82" s="1702"/>
      <c r="AU82" s="1702"/>
      <c r="AV82" s="1702"/>
      <c r="AW82" s="1702"/>
      <c r="AX82" s="1383"/>
      <c r="AY82" s="1725"/>
      <c r="AZ82" s="1293"/>
      <c r="BA82" s="1293"/>
      <c r="BB82" s="1713"/>
      <c r="BC82" s="1203"/>
      <c r="BD82" s="1203"/>
      <c r="BE82" s="1210"/>
      <c r="CK82" s="1201"/>
      <c r="CL82" s="1201"/>
      <c r="CM82" s="1201"/>
      <c r="CN82" s="1201"/>
      <c r="CO82" s="1201"/>
      <c r="CP82" s="1201"/>
    </row>
    <row r="83" spans="1:94" ht="15.75" customHeight="1">
      <c r="A83" s="1203"/>
      <c r="B83" s="1754"/>
      <c r="C83" s="1405"/>
      <c r="D83" s="1405"/>
      <c r="E83" s="1405"/>
      <c r="F83" s="1405"/>
      <c r="G83" s="1405"/>
      <c r="H83" s="1296"/>
      <c r="I83" s="1404"/>
      <c r="J83" s="1405"/>
      <c r="K83" s="1405"/>
      <c r="L83" s="1405"/>
      <c r="M83" s="1405"/>
      <c r="N83" s="1296"/>
      <c r="O83" s="1404"/>
      <c r="P83" s="1405"/>
      <c r="Q83" s="1405"/>
      <c r="R83" s="1405"/>
      <c r="S83" s="1405"/>
      <c r="T83" s="1405"/>
      <c r="U83" s="1296"/>
      <c r="V83" s="1404"/>
      <c r="W83" s="1405"/>
      <c r="X83" s="1405"/>
      <c r="Y83" s="1405"/>
      <c r="Z83" s="1405"/>
      <c r="AA83" s="1296"/>
      <c r="AB83" s="1404"/>
      <c r="AC83" s="1405"/>
      <c r="AD83" s="1405"/>
      <c r="AE83" s="1405"/>
      <c r="AF83" s="1405"/>
      <c r="AG83" s="1405"/>
      <c r="AH83" s="1296"/>
      <c r="AI83" s="1203"/>
      <c r="AJ83" s="1759"/>
      <c r="AK83" s="1702"/>
      <c r="AL83" s="1702"/>
      <c r="AM83" s="1702"/>
      <c r="AN83" s="1702"/>
      <c r="AO83" s="1702"/>
      <c r="AP83" s="1702"/>
      <c r="AQ83" s="1702"/>
      <c r="AR83" s="1702"/>
      <c r="AS83" s="1702"/>
      <c r="AT83" s="1702"/>
      <c r="AU83" s="1702"/>
      <c r="AV83" s="1702"/>
      <c r="AW83" s="1702"/>
      <c r="AX83" s="1383"/>
      <c r="AY83" s="1725"/>
      <c r="AZ83" s="1293"/>
      <c r="BA83" s="1293"/>
      <c r="BB83" s="1713"/>
      <c r="BC83" s="1203"/>
      <c r="BD83" s="1203"/>
      <c r="BE83" s="1210"/>
      <c r="CK83" s="1201"/>
      <c r="CL83" s="1201"/>
      <c r="CM83" s="1201"/>
      <c r="CN83" s="1201"/>
      <c r="CO83" s="1201"/>
      <c r="CP83" s="1201"/>
    </row>
    <row r="84" spans="1:94" ht="15.75" customHeight="1">
      <c r="A84" s="1203"/>
      <c r="B84" s="1707" t="s">
        <v>2045</v>
      </c>
      <c r="C84" s="1263"/>
      <c r="D84" s="1263"/>
      <c r="E84" s="1263"/>
      <c r="F84" s="1263"/>
      <c r="G84" s="1263"/>
      <c r="H84" s="1264"/>
      <c r="I84" s="1753">
        <v>0</v>
      </c>
      <c r="J84" s="1374"/>
      <c r="K84" s="1374"/>
      <c r="L84" s="1374"/>
      <c r="M84" s="1374"/>
      <c r="N84" s="1375"/>
      <c r="O84" s="1753">
        <v>0</v>
      </c>
      <c r="P84" s="1374"/>
      <c r="Q84" s="1374"/>
      <c r="R84" s="1374"/>
      <c r="S84" s="1374"/>
      <c r="T84" s="1374"/>
      <c r="U84" s="1375"/>
      <c r="V84" s="1753">
        <v>0</v>
      </c>
      <c r="W84" s="1374"/>
      <c r="X84" s="1374"/>
      <c r="Y84" s="1374"/>
      <c r="Z84" s="1374"/>
      <c r="AA84" s="1375"/>
      <c r="AB84" s="1753">
        <v>0</v>
      </c>
      <c r="AC84" s="1374"/>
      <c r="AD84" s="1374"/>
      <c r="AE84" s="1374"/>
      <c r="AF84" s="1374"/>
      <c r="AG84" s="1374"/>
      <c r="AH84" s="1375"/>
      <c r="AI84" s="1203"/>
      <c r="AJ84" s="1754"/>
      <c r="AK84" s="1405"/>
      <c r="AL84" s="1405"/>
      <c r="AM84" s="1405"/>
      <c r="AN84" s="1405"/>
      <c r="AO84" s="1405"/>
      <c r="AP84" s="1405"/>
      <c r="AQ84" s="1405"/>
      <c r="AR84" s="1405"/>
      <c r="AS84" s="1405"/>
      <c r="AT84" s="1405"/>
      <c r="AU84" s="1405"/>
      <c r="AV84" s="1405"/>
      <c r="AW84" s="1405"/>
      <c r="AX84" s="1296"/>
      <c r="AY84" s="1472"/>
      <c r="AZ84" s="1294"/>
      <c r="BA84" s="1294"/>
      <c r="BB84" s="1388"/>
      <c r="BC84" s="1203"/>
      <c r="BD84" s="1203"/>
      <c r="BE84" s="1210"/>
      <c r="CK84" s="1201"/>
      <c r="CL84" s="1201"/>
      <c r="CM84" s="1201"/>
      <c r="CN84" s="1201"/>
      <c r="CO84" s="1201"/>
      <c r="CP84" s="1201"/>
    </row>
    <row r="85" spans="1:94" ht="15.75" customHeight="1">
      <c r="A85" s="1203"/>
      <c r="B85" s="1707" t="s">
        <v>2046</v>
      </c>
      <c r="C85" s="1263"/>
      <c r="D85" s="1263"/>
      <c r="E85" s="1263"/>
      <c r="F85" s="1263"/>
      <c r="G85" s="1263"/>
      <c r="H85" s="1264"/>
      <c r="I85" s="1753">
        <v>0</v>
      </c>
      <c r="J85" s="1374"/>
      <c r="K85" s="1374"/>
      <c r="L85" s="1374"/>
      <c r="M85" s="1374"/>
      <c r="N85" s="1375"/>
      <c r="O85" s="1753">
        <v>0</v>
      </c>
      <c r="P85" s="1374"/>
      <c r="Q85" s="1374"/>
      <c r="R85" s="1374"/>
      <c r="S85" s="1374"/>
      <c r="T85" s="1374"/>
      <c r="U85" s="1375"/>
      <c r="V85" s="1753">
        <v>0</v>
      </c>
      <c r="W85" s="1374"/>
      <c r="X85" s="1374"/>
      <c r="Y85" s="1374"/>
      <c r="Z85" s="1374"/>
      <c r="AA85" s="1375"/>
      <c r="AB85" s="1753">
        <v>0</v>
      </c>
      <c r="AC85" s="1374"/>
      <c r="AD85" s="1374"/>
      <c r="AE85" s="1374"/>
      <c r="AF85" s="1374"/>
      <c r="AG85" s="1374"/>
      <c r="AH85" s="1375"/>
      <c r="AI85" s="1203"/>
      <c r="AJ85" s="1711" t="s">
        <v>2047</v>
      </c>
      <c r="AK85" s="1470"/>
      <c r="AL85" s="1470"/>
      <c r="AM85" s="1470"/>
      <c r="AN85" s="1470"/>
      <c r="AO85" s="1470"/>
      <c r="AP85" s="1470"/>
      <c r="AQ85" s="1470"/>
      <c r="AR85" s="1470"/>
      <c r="AS85" s="1470"/>
      <c r="AT85" s="1470"/>
      <c r="AU85" s="1470"/>
      <c r="AV85" s="1470"/>
      <c r="AW85" s="1470"/>
      <c r="AX85" s="1470"/>
      <c r="AY85" s="1470"/>
      <c r="AZ85" s="1470"/>
      <c r="BA85" s="1470"/>
      <c r="BB85" s="1471"/>
      <c r="BC85" s="1203"/>
      <c r="BD85" s="1203"/>
      <c r="BE85" s="1210"/>
      <c r="CK85" s="1201"/>
      <c r="CL85" s="1201"/>
      <c r="CM85" s="1201"/>
      <c r="CN85" s="1201"/>
      <c r="CO85" s="1201"/>
      <c r="CP85" s="1201"/>
    </row>
    <row r="86" spans="1:94" ht="15.75" customHeight="1" thickBot="1">
      <c r="A86" s="1203"/>
      <c r="B86" s="1812" t="s">
        <v>2048</v>
      </c>
      <c r="C86" s="1685"/>
      <c r="D86" s="1685"/>
      <c r="E86" s="1685"/>
      <c r="F86" s="1685"/>
      <c r="G86" s="1685"/>
      <c r="H86" s="1279"/>
      <c r="I86" s="1717">
        <v>0</v>
      </c>
      <c r="J86" s="1709"/>
      <c r="K86" s="1709"/>
      <c r="L86" s="1709"/>
      <c r="M86" s="1709"/>
      <c r="N86" s="1718"/>
      <c r="O86" s="1717">
        <v>0</v>
      </c>
      <c r="P86" s="1709"/>
      <c r="Q86" s="1709"/>
      <c r="R86" s="1709"/>
      <c r="S86" s="1709"/>
      <c r="T86" s="1709"/>
      <c r="U86" s="1718"/>
      <c r="V86" s="1717">
        <v>0</v>
      </c>
      <c r="W86" s="1709"/>
      <c r="X86" s="1709"/>
      <c r="Y86" s="1709"/>
      <c r="Z86" s="1709"/>
      <c r="AA86" s="1718"/>
      <c r="AB86" s="1717">
        <v>0</v>
      </c>
      <c r="AC86" s="1709"/>
      <c r="AD86" s="1709"/>
      <c r="AE86" s="1709"/>
      <c r="AF86" s="1709"/>
      <c r="AG86" s="1709"/>
      <c r="AH86" s="1718"/>
      <c r="AI86" s="1203"/>
      <c r="AJ86" s="1714"/>
      <c r="AK86" s="1294"/>
      <c r="AL86" s="1294"/>
      <c r="AM86" s="1294"/>
      <c r="AN86" s="1294"/>
      <c r="AO86" s="1294"/>
      <c r="AP86" s="1294"/>
      <c r="AQ86" s="1294"/>
      <c r="AR86" s="1294"/>
      <c r="AS86" s="1294"/>
      <c r="AT86" s="1294"/>
      <c r="AU86" s="1294"/>
      <c r="AV86" s="1294"/>
      <c r="AW86" s="1294"/>
      <c r="AX86" s="1294"/>
      <c r="AY86" s="1294"/>
      <c r="AZ86" s="1294"/>
      <c r="BA86" s="1294"/>
      <c r="BB86" s="1388"/>
      <c r="BC86" s="1203"/>
      <c r="BD86" s="1203"/>
      <c r="BE86" s="1210"/>
      <c r="CK86" s="1201"/>
      <c r="CL86" s="1201"/>
      <c r="CM86" s="1201"/>
      <c r="CN86" s="1201"/>
      <c r="CO86" s="1201"/>
      <c r="CP86" s="1201"/>
    </row>
    <row r="87" spans="1:94" ht="15.75" customHeight="1">
      <c r="A87" s="1203"/>
      <c r="B87" s="1203"/>
      <c r="C87" s="1203"/>
      <c r="D87" s="1203"/>
      <c r="E87" s="1203"/>
      <c r="F87" s="1203"/>
      <c r="G87" s="1203"/>
      <c r="H87" s="1203"/>
      <c r="I87" s="1203"/>
      <c r="J87" s="1203"/>
      <c r="K87" s="1203"/>
      <c r="L87" s="1203"/>
      <c r="M87" s="1203"/>
      <c r="N87" s="1203"/>
      <c r="O87" s="1203"/>
      <c r="P87" s="1203"/>
      <c r="Q87" s="1203"/>
      <c r="R87" s="1203"/>
      <c r="S87" s="1203"/>
      <c r="T87" s="1203"/>
      <c r="U87" s="1203"/>
      <c r="V87" s="1203"/>
      <c r="W87" s="1203"/>
      <c r="X87" s="1203"/>
      <c r="Y87" s="1203"/>
      <c r="Z87" s="1203"/>
      <c r="AA87" s="1203"/>
      <c r="AB87" s="1203"/>
      <c r="AC87" s="1203"/>
      <c r="AD87" s="1203"/>
      <c r="AE87" s="1203"/>
      <c r="AF87" s="1203"/>
      <c r="AG87" s="1203"/>
      <c r="AH87" s="1203"/>
      <c r="AI87" s="1203"/>
      <c r="AJ87" s="1203"/>
      <c r="AK87" s="1203"/>
      <c r="AL87" s="1203"/>
      <c r="AM87" s="1203"/>
      <c r="AN87" s="1203"/>
      <c r="AO87" s="1203"/>
      <c r="AP87" s="1203"/>
      <c r="AQ87" s="1203"/>
      <c r="AR87" s="1203"/>
      <c r="AS87" s="1203"/>
      <c r="AT87" s="1203"/>
      <c r="AU87" s="1203"/>
      <c r="AV87" s="1203"/>
      <c r="AW87" s="1203"/>
      <c r="AX87" s="1203"/>
      <c r="AY87" s="1203"/>
      <c r="AZ87" s="1203"/>
      <c r="BA87" s="1203"/>
      <c r="BB87" s="1203"/>
      <c r="BC87" s="1203"/>
      <c r="BD87" s="1203"/>
      <c r="BE87" s="1210"/>
      <c r="CM87" s="1201"/>
      <c r="CN87" s="1201"/>
      <c r="CO87" s="1201"/>
      <c r="CP87" s="1201"/>
    </row>
    <row r="88" spans="1:94" ht="15.75" customHeight="1" thickBot="1">
      <c r="A88" s="1203"/>
      <c r="B88" s="1203"/>
      <c r="C88" s="1203"/>
      <c r="D88" s="1203"/>
      <c r="E88" s="1203"/>
      <c r="F88" s="1203"/>
      <c r="G88" s="1203"/>
      <c r="H88" s="1203"/>
      <c r="I88" s="1203"/>
      <c r="J88" s="1203"/>
      <c r="K88" s="1203"/>
      <c r="L88" s="1203"/>
      <c r="M88" s="1203"/>
      <c r="N88" s="1203"/>
      <c r="O88" s="1203"/>
      <c r="P88" s="1203"/>
      <c r="Q88" s="1203"/>
      <c r="R88" s="1203"/>
      <c r="S88" s="1203"/>
      <c r="T88" s="1203"/>
      <c r="U88" s="1203"/>
      <c r="V88" s="1203"/>
      <c r="W88" s="1203"/>
      <c r="X88" s="1203"/>
      <c r="Y88" s="1203"/>
      <c r="Z88" s="1203"/>
      <c r="AA88" s="1203"/>
      <c r="AB88" s="1203"/>
      <c r="AC88" s="1203"/>
      <c r="AD88" s="1203"/>
      <c r="AE88" s="1203"/>
      <c r="AF88" s="1203"/>
      <c r="AG88" s="1203"/>
      <c r="AH88" s="1203"/>
      <c r="AI88" s="1203"/>
      <c r="AJ88" s="1203"/>
      <c r="AK88" s="1203"/>
      <c r="AL88" s="1203"/>
      <c r="AM88" s="1203"/>
      <c r="AN88" s="1203"/>
      <c r="AO88" s="1203"/>
      <c r="AP88" s="1203"/>
      <c r="AQ88" s="1203"/>
      <c r="AR88" s="1203"/>
      <c r="AS88" s="1203"/>
      <c r="AT88" s="1203"/>
      <c r="AU88" s="1203"/>
      <c r="AV88" s="1203"/>
      <c r="AW88" s="1203"/>
      <c r="AX88" s="1203"/>
      <c r="AY88" s="1203"/>
      <c r="AZ88" s="1203"/>
      <c r="BA88" s="1203"/>
      <c r="BB88" s="1203"/>
      <c r="BC88" s="1203"/>
      <c r="BD88" s="1203"/>
      <c r="BE88" s="1210"/>
      <c r="CM88" s="1201"/>
      <c r="CN88" s="1201"/>
      <c r="CO88" s="1201"/>
      <c r="CP88" s="1201"/>
    </row>
    <row r="89" spans="1:94" ht="15.75" customHeight="1" thickBot="1">
      <c r="A89" s="1203"/>
      <c r="B89" s="1219" t="s">
        <v>2049</v>
      </c>
      <c r="C89" s="1225"/>
      <c r="D89" s="1226"/>
      <c r="E89" s="1227"/>
      <c r="F89" s="1227"/>
      <c r="G89" s="1227"/>
      <c r="H89" s="1227"/>
      <c r="I89" s="1227"/>
      <c r="J89" s="1227"/>
      <c r="K89" s="1227"/>
      <c r="L89" s="1227"/>
      <c r="M89" s="1227"/>
      <c r="N89" s="1227"/>
      <c r="O89" s="1227"/>
      <c r="P89" s="1227"/>
      <c r="Q89" s="1227"/>
      <c r="R89" s="1227"/>
      <c r="S89" s="1227"/>
      <c r="T89" s="1228"/>
      <c r="U89" s="1203"/>
      <c r="V89" s="1203"/>
      <c r="W89" s="1203"/>
      <c r="X89" s="1203"/>
      <c r="Y89" s="1203"/>
      <c r="Z89" s="1203"/>
      <c r="AA89" s="1203"/>
      <c r="AB89" s="1203"/>
      <c r="AC89" s="1203"/>
      <c r="AD89" s="1203"/>
      <c r="AE89" s="1203"/>
      <c r="AF89" s="1203"/>
      <c r="AG89" s="1203"/>
      <c r="AH89" s="1203"/>
      <c r="AI89" s="1203"/>
      <c r="AJ89" s="1203"/>
      <c r="AK89" s="1203"/>
      <c r="AL89" s="1203"/>
      <c r="AM89" s="1203"/>
      <c r="AN89" s="1203"/>
      <c r="AO89" s="1203"/>
      <c r="AP89" s="1203"/>
      <c r="AQ89" s="1203"/>
      <c r="AR89" s="1203"/>
      <c r="AS89" s="1203"/>
      <c r="AT89" s="1203"/>
      <c r="AU89" s="1203"/>
      <c r="AV89" s="1203"/>
      <c r="AW89" s="1203"/>
      <c r="AX89" s="1203"/>
      <c r="AY89" s="1203"/>
      <c r="AZ89" s="1203"/>
      <c r="BA89" s="1203"/>
      <c r="BB89" s="1203"/>
      <c r="BC89" s="1203"/>
      <c r="BD89" s="1203"/>
      <c r="BE89" s="1210"/>
      <c r="BQ89" s="1185"/>
      <c r="CM89" s="1201"/>
      <c r="CN89" s="1201"/>
      <c r="CO89" s="1201"/>
      <c r="CP89" s="1201"/>
    </row>
    <row r="90" spans="1:94" ht="15.75" customHeight="1">
      <c r="A90" s="1203"/>
      <c r="B90" s="1229" t="s">
        <v>2037</v>
      </c>
      <c r="C90" s="1229"/>
      <c r="D90" s="1230"/>
      <c r="E90" s="1231"/>
      <c r="F90" s="1769"/>
      <c r="G90" s="1294"/>
      <c r="H90" s="1294"/>
      <c r="I90" s="1294"/>
      <c r="J90" s="1294"/>
      <c r="K90" s="1294"/>
      <c r="L90" s="1294"/>
      <c r="M90" s="1294"/>
      <c r="N90" s="1294"/>
      <c r="O90" s="1294"/>
      <c r="P90" s="1294"/>
      <c r="Q90" s="1294"/>
      <c r="R90" s="1294"/>
      <c r="S90" s="1294"/>
      <c r="T90" s="1770"/>
      <c r="U90" s="1203"/>
      <c r="V90" s="1203"/>
      <c r="W90" s="1203"/>
      <c r="X90" s="1203"/>
      <c r="Y90" s="1203"/>
      <c r="Z90" s="1203"/>
      <c r="AA90" s="1203"/>
      <c r="AB90" s="1203"/>
      <c r="AC90" s="1203"/>
      <c r="AD90" s="1203"/>
      <c r="AE90" s="1203"/>
      <c r="AF90" s="1203"/>
      <c r="AG90" s="1203"/>
      <c r="AH90" s="1203"/>
      <c r="AI90" s="1203"/>
      <c r="AJ90" s="1203"/>
      <c r="AK90" s="1203"/>
      <c r="AL90" s="1203"/>
      <c r="AM90" s="1203"/>
      <c r="AN90" s="1203"/>
      <c r="AO90" s="1203"/>
      <c r="AP90" s="1203"/>
      <c r="AQ90" s="1203"/>
      <c r="AR90" s="1203"/>
      <c r="AS90" s="1203"/>
      <c r="AT90" s="1203"/>
      <c r="AU90" s="1203"/>
      <c r="AV90" s="1203"/>
      <c r="AW90" s="1203"/>
      <c r="AX90" s="1203"/>
      <c r="AY90" s="1203"/>
      <c r="AZ90" s="1203"/>
      <c r="BA90" s="1203"/>
      <c r="BB90" s="1203"/>
      <c r="BC90" s="1203"/>
      <c r="BD90" s="1203"/>
      <c r="BE90" s="1210"/>
      <c r="CM90" s="1201"/>
      <c r="CN90" s="1201"/>
      <c r="CO90" s="1201"/>
      <c r="CP90" s="1201"/>
    </row>
    <row r="91" spans="1:94" ht="15.75" customHeight="1" thickBot="1">
      <c r="A91" s="1203"/>
      <c r="B91" s="1203" t="s">
        <v>2050</v>
      </c>
      <c r="C91" s="1203"/>
      <c r="D91" s="1203"/>
      <c r="E91" s="1203"/>
      <c r="F91" s="1203"/>
      <c r="G91" s="1203"/>
      <c r="H91" s="1203"/>
      <c r="I91" s="1203"/>
      <c r="J91" s="1203"/>
      <c r="K91" s="1203"/>
      <c r="L91" s="1203"/>
      <c r="M91" s="1203"/>
      <c r="N91" s="1203"/>
      <c r="O91" s="1203"/>
      <c r="P91" s="1203"/>
      <c r="Q91" s="1203"/>
      <c r="R91" s="1203"/>
      <c r="S91" s="1203"/>
      <c r="T91" s="1203"/>
      <c r="U91" s="1203"/>
      <c r="V91" s="1203"/>
      <c r="W91" s="1203"/>
      <c r="X91" s="1203"/>
      <c r="Y91" s="1203"/>
      <c r="Z91" s="1203"/>
      <c r="AA91" s="1203"/>
      <c r="AB91" s="1203"/>
      <c r="AC91" s="1203"/>
      <c r="AD91" s="1203"/>
      <c r="AE91" s="1203"/>
      <c r="AF91" s="1203"/>
      <c r="AG91" s="1203"/>
      <c r="AH91" s="1203"/>
      <c r="AI91" s="1203"/>
      <c r="AJ91" s="1203"/>
      <c r="AK91" s="1203"/>
      <c r="AL91" s="1203"/>
      <c r="AM91" s="1203"/>
      <c r="AN91" s="1203"/>
      <c r="AO91" s="1203"/>
      <c r="AP91" s="1203"/>
      <c r="AQ91" s="1203"/>
      <c r="AR91" s="1203"/>
      <c r="AS91" s="1203"/>
      <c r="AT91" s="1203"/>
      <c r="AU91" s="1203"/>
      <c r="AV91" s="1203"/>
      <c r="AW91" s="1203"/>
      <c r="AX91" s="1203"/>
      <c r="AY91" s="1203"/>
      <c r="AZ91" s="1203"/>
      <c r="BA91" s="1203"/>
      <c r="BB91" s="1203"/>
      <c r="BC91" s="1203"/>
      <c r="BD91" s="1203"/>
      <c r="BE91" s="1210"/>
      <c r="BH91" s="1232"/>
      <c r="BI91" s="1232"/>
      <c r="BJ91" s="1232"/>
      <c r="BK91" s="1232"/>
      <c r="BL91" s="1232"/>
      <c r="BM91" s="1232"/>
      <c r="BN91" s="1232"/>
      <c r="BO91" s="1232"/>
      <c r="BP91" s="1232"/>
      <c r="BQ91" s="1232"/>
      <c r="BR91" s="1232"/>
      <c r="BS91" s="1232"/>
      <c r="CM91" s="1201"/>
      <c r="CN91" s="1201"/>
      <c r="CO91" s="1201"/>
      <c r="CP91" s="1201"/>
    </row>
    <row r="92" spans="1:94" ht="15.75" customHeight="1">
      <c r="A92" s="1203"/>
      <c r="B92" s="1857" t="s">
        <v>2051</v>
      </c>
      <c r="C92" s="1288"/>
      <c r="D92" s="1288"/>
      <c r="E92" s="1288"/>
      <c r="F92" s="1288"/>
      <c r="G92" s="1288"/>
      <c r="H92" s="1288"/>
      <c r="I92" s="1288"/>
      <c r="J92" s="1288"/>
      <c r="K92" s="1288"/>
      <c r="L92" s="1288"/>
      <c r="M92" s="1288"/>
      <c r="N92" s="1288"/>
      <c r="O92" s="1288"/>
      <c r="P92" s="1288"/>
      <c r="Q92" s="1288"/>
      <c r="R92" s="1288"/>
      <c r="S92" s="1288"/>
      <c r="T92" s="1288"/>
      <c r="U92" s="1288"/>
      <c r="V92" s="1288"/>
      <c r="W92" s="1288"/>
      <c r="X92" s="1288"/>
      <c r="Y92" s="1288"/>
      <c r="Z92" s="1288"/>
      <c r="AA92" s="1288"/>
      <c r="AB92" s="1288"/>
      <c r="AC92" s="1288"/>
      <c r="AD92" s="1288"/>
      <c r="AE92" s="1288"/>
      <c r="AF92" s="1288"/>
      <c r="AG92" s="1288"/>
      <c r="AH92" s="1272"/>
      <c r="AI92" s="1203"/>
      <c r="AJ92" s="1757" t="s">
        <v>2052</v>
      </c>
      <c r="AK92" s="1743"/>
      <c r="AL92" s="1743"/>
      <c r="AM92" s="1743"/>
      <c r="AN92" s="1743"/>
      <c r="AO92" s="1743"/>
      <c r="AP92" s="1743"/>
      <c r="AQ92" s="1743"/>
      <c r="AR92" s="1743"/>
      <c r="AS92" s="1743"/>
      <c r="AT92" s="1743"/>
      <c r="AU92" s="1743"/>
      <c r="AV92" s="1743"/>
      <c r="AW92" s="1743"/>
      <c r="AX92" s="1758"/>
      <c r="AY92" s="1722" t="s">
        <v>969</v>
      </c>
      <c r="AZ92" s="1723"/>
      <c r="BA92" s="1723"/>
      <c r="BB92" s="1724"/>
      <c r="BC92" s="1203"/>
      <c r="BD92" s="1203"/>
      <c r="BE92" s="1210"/>
      <c r="BH92" s="1232"/>
      <c r="BI92" s="1232"/>
      <c r="BJ92" s="1232"/>
      <c r="BK92" s="1232"/>
      <c r="BL92" s="1232"/>
      <c r="BM92" s="1232"/>
      <c r="BN92" s="1232"/>
      <c r="BO92" s="1232"/>
      <c r="BP92" s="1232"/>
      <c r="BQ92" s="1232"/>
      <c r="BR92" s="1233"/>
      <c r="BS92" s="1232"/>
      <c r="CM92" s="1201"/>
      <c r="CN92" s="1201"/>
      <c r="CO92" s="1201"/>
      <c r="CP92" s="1201"/>
    </row>
    <row r="93" spans="1:94" ht="15.75" customHeight="1">
      <c r="A93" s="1203"/>
      <c r="B93" s="1707"/>
      <c r="C93" s="1417"/>
      <c r="D93" s="1417"/>
      <c r="E93" s="1417"/>
      <c r="F93" s="1417"/>
      <c r="G93" s="1417"/>
      <c r="H93" s="1423"/>
      <c r="I93" s="1749" t="s">
        <v>2041</v>
      </c>
      <c r="J93" s="1417"/>
      <c r="K93" s="1417"/>
      <c r="L93" s="1417"/>
      <c r="M93" s="1417"/>
      <c r="N93" s="1423"/>
      <c r="O93" s="1749" t="s">
        <v>2042</v>
      </c>
      <c r="P93" s="1417"/>
      <c r="Q93" s="1417"/>
      <c r="R93" s="1417"/>
      <c r="S93" s="1417"/>
      <c r="T93" s="1417"/>
      <c r="U93" s="1423"/>
      <c r="V93" s="1787" t="s">
        <v>2043</v>
      </c>
      <c r="W93" s="1417"/>
      <c r="X93" s="1417"/>
      <c r="Y93" s="1417"/>
      <c r="Z93" s="1417"/>
      <c r="AA93" s="1423"/>
      <c r="AB93" s="1804" t="s">
        <v>2044</v>
      </c>
      <c r="AC93" s="1417"/>
      <c r="AD93" s="1417"/>
      <c r="AE93" s="1417"/>
      <c r="AF93" s="1417"/>
      <c r="AG93" s="1417"/>
      <c r="AH93" s="1423"/>
      <c r="AI93" s="1203"/>
      <c r="AJ93" s="1759"/>
      <c r="AK93" s="1702"/>
      <c r="AL93" s="1702"/>
      <c r="AM93" s="1702"/>
      <c r="AN93" s="1702"/>
      <c r="AO93" s="1702"/>
      <c r="AP93" s="1702"/>
      <c r="AQ93" s="1702"/>
      <c r="AR93" s="1702"/>
      <c r="AS93" s="1702"/>
      <c r="AT93" s="1702"/>
      <c r="AU93" s="1702"/>
      <c r="AV93" s="1702"/>
      <c r="AW93" s="1702"/>
      <c r="AX93" s="1383"/>
      <c r="AY93" s="1725"/>
      <c r="AZ93" s="1293"/>
      <c r="BA93" s="1293"/>
      <c r="BB93" s="1713"/>
      <c r="BC93" s="1203"/>
      <c r="BD93" s="1203"/>
      <c r="BE93" s="1210"/>
      <c r="BH93" s="1232"/>
      <c r="BI93" s="1232"/>
      <c r="BJ93" s="1232"/>
      <c r="BK93" s="1232"/>
      <c r="BL93" s="1232"/>
      <c r="BM93" s="1232"/>
      <c r="BN93" s="1232"/>
      <c r="BO93" s="1232"/>
      <c r="BP93" s="1232"/>
      <c r="BQ93" s="1232"/>
      <c r="BR93" s="1233"/>
      <c r="BS93" s="1232"/>
      <c r="CM93" s="1201"/>
      <c r="CN93" s="1201"/>
      <c r="CO93" s="1201"/>
      <c r="CP93" s="1201"/>
    </row>
    <row r="94" spans="1:94" ht="15.75" customHeight="1">
      <c r="A94" s="1203"/>
      <c r="B94" s="1754"/>
      <c r="C94" s="1405"/>
      <c r="D94" s="1405"/>
      <c r="E94" s="1405"/>
      <c r="F94" s="1405"/>
      <c r="G94" s="1405"/>
      <c r="H94" s="1296"/>
      <c r="I94" s="1404"/>
      <c r="J94" s="1405"/>
      <c r="K94" s="1405"/>
      <c r="L94" s="1405"/>
      <c r="M94" s="1405"/>
      <c r="N94" s="1296"/>
      <c r="O94" s="1404"/>
      <c r="P94" s="1405"/>
      <c r="Q94" s="1405"/>
      <c r="R94" s="1405"/>
      <c r="S94" s="1405"/>
      <c r="T94" s="1405"/>
      <c r="U94" s="1296"/>
      <c r="V94" s="1404"/>
      <c r="W94" s="1405"/>
      <c r="X94" s="1405"/>
      <c r="Y94" s="1405"/>
      <c r="Z94" s="1405"/>
      <c r="AA94" s="1296"/>
      <c r="AB94" s="1404"/>
      <c r="AC94" s="1405"/>
      <c r="AD94" s="1405"/>
      <c r="AE94" s="1405"/>
      <c r="AF94" s="1405"/>
      <c r="AG94" s="1405"/>
      <c r="AH94" s="1296"/>
      <c r="AI94" s="1203"/>
      <c r="AJ94" s="1759"/>
      <c r="AK94" s="1702"/>
      <c r="AL94" s="1702"/>
      <c r="AM94" s="1702"/>
      <c r="AN94" s="1702"/>
      <c r="AO94" s="1702"/>
      <c r="AP94" s="1702"/>
      <c r="AQ94" s="1702"/>
      <c r="AR94" s="1702"/>
      <c r="AS94" s="1702"/>
      <c r="AT94" s="1702"/>
      <c r="AU94" s="1702"/>
      <c r="AV94" s="1702"/>
      <c r="AW94" s="1702"/>
      <c r="AX94" s="1383"/>
      <c r="AY94" s="1725"/>
      <c r="AZ94" s="1293"/>
      <c r="BA94" s="1293"/>
      <c r="BB94" s="1713"/>
      <c r="BC94" s="1203"/>
      <c r="BD94" s="1203"/>
      <c r="BE94" s="1210"/>
      <c r="BH94" s="1232"/>
      <c r="BI94" s="1232"/>
      <c r="BJ94" s="1232"/>
      <c r="BK94" s="1232"/>
      <c r="BL94" s="1232"/>
      <c r="BM94" s="1232"/>
      <c r="BN94" s="1232"/>
      <c r="BO94" s="1232"/>
      <c r="BP94" s="1232"/>
      <c r="BQ94" s="1232"/>
      <c r="BR94" s="1233"/>
      <c r="BS94" s="1232"/>
      <c r="CM94" s="1201"/>
      <c r="CN94" s="1201"/>
      <c r="CO94" s="1201"/>
      <c r="CP94" s="1201"/>
    </row>
    <row r="95" spans="1:94" ht="15.75" customHeight="1">
      <c r="A95" s="1203"/>
      <c r="B95" s="1707" t="s">
        <v>2045</v>
      </c>
      <c r="C95" s="1263"/>
      <c r="D95" s="1263"/>
      <c r="E95" s="1263"/>
      <c r="F95" s="1263"/>
      <c r="G95" s="1263"/>
      <c r="H95" s="1264"/>
      <c r="I95" s="1753">
        <v>0</v>
      </c>
      <c r="J95" s="1374"/>
      <c r="K95" s="1374"/>
      <c r="L95" s="1374"/>
      <c r="M95" s="1374"/>
      <c r="N95" s="1375"/>
      <c r="O95" s="1753">
        <v>0</v>
      </c>
      <c r="P95" s="1374"/>
      <c r="Q95" s="1374"/>
      <c r="R95" s="1374"/>
      <c r="S95" s="1374"/>
      <c r="T95" s="1374"/>
      <c r="U95" s="1375"/>
      <c r="V95" s="1753">
        <v>0</v>
      </c>
      <c r="W95" s="1374"/>
      <c r="X95" s="1374"/>
      <c r="Y95" s="1374"/>
      <c r="Z95" s="1374"/>
      <c r="AA95" s="1375"/>
      <c r="AB95" s="1753">
        <v>0</v>
      </c>
      <c r="AC95" s="1374"/>
      <c r="AD95" s="1374"/>
      <c r="AE95" s="1374"/>
      <c r="AF95" s="1374"/>
      <c r="AG95" s="1374"/>
      <c r="AH95" s="1375"/>
      <c r="AI95" s="1203"/>
      <c r="AJ95" s="1754"/>
      <c r="AK95" s="1405"/>
      <c r="AL95" s="1405"/>
      <c r="AM95" s="1405"/>
      <c r="AN95" s="1405"/>
      <c r="AO95" s="1405"/>
      <c r="AP95" s="1405"/>
      <c r="AQ95" s="1405"/>
      <c r="AR95" s="1405"/>
      <c r="AS95" s="1405"/>
      <c r="AT95" s="1405"/>
      <c r="AU95" s="1405"/>
      <c r="AV95" s="1405"/>
      <c r="AW95" s="1405"/>
      <c r="AX95" s="1296"/>
      <c r="AY95" s="1472"/>
      <c r="AZ95" s="1294"/>
      <c r="BA95" s="1294"/>
      <c r="BB95" s="1388"/>
      <c r="BC95" s="1203"/>
      <c r="BD95" s="1203"/>
      <c r="BE95" s="1210"/>
      <c r="BH95" s="1232"/>
      <c r="BI95" s="1232"/>
      <c r="BJ95" s="1232"/>
      <c r="BK95" s="1232"/>
      <c r="BL95" s="1232"/>
      <c r="BM95" s="1232"/>
      <c r="BN95" s="1232"/>
      <c r="BO95" s="1232"/>
      <c r="BP95" s="1232"/>
      <c r="BQ95" s="1232"/>
      <c r="BR95" s="1232"/>
      <c r="BS95" s="1232"/>
      <c r="CM95" s="1201"/>
      <c r="CN95" s="1201"/>
      <c r="CO95" s="1201"/>
      <c r="CP95" s="1201"/>
    </row>
    <row r="96" spans="1:94" ht="15.75" customHeight="1">
      <c r="A96" s="1203"/>
      <c r="B96" s="1707" t="s">
        <v>2046</v>
      </c>
      <c r="C96" s="1263"/>
      <c r="D96" s="1263"/>
      <c r="E96" s="1263"/>
      <c r="F96" s="1263"/>
      <c r="G96" s="1263"/>
      <c r="H96" s="1264"/>
      <c r="I96" s="1753">
        <v>0</v>
      </c>
      <c r="J96" s="1374"/>
      <c r="K96" s="1374"/>
      <c r="L96" s="1374"/>
      <c r="M96" s="1374"/>
      <c r="N96" s="1375"/>
      <c r="O96" s="1753">
        <v>0</v>
      </c>
      <c r="P96" s="1374"/>
      <c r="Q96" s="1374"/>
      <c r="R96" s="1374"/>
      <c r="S96" s="1374"/>
      <c r="T96" s="1374"/>
      <c r="U96" s="1375"/>
      <c r="V96" s="1753">
        <v>0</v>
      </c>
      <c r="W96" s="1374"/>
      <c r="X96" s="1374"/>
      <c r="Y96" s="1374"/>
      <c r="Z96" s="1374"/>
      <c r="AA96" s="1375"/>
      <c r="AB96" s="1753">
        <v>0</v>
      </c>
      <c r="AC96" s="1374"/>
      <c r="AD96" s="1374"/>
      <c r="AE96" s="1374"/>
      <c r="AF96" s="1374"/>
      <c r="AG96" s="1374"/>
      <c r="AH96" s="1375"/>
      <c r="AI96" s="1203"/>
      <c r="AJ96" s="1711" t="s">
        <v>2047</v>
      </c>
      <c r="AK96" s="1470"/>
      <c r="AL96" s="1470"/>
      <c r="AM96" s="1470"/>
      <c r="AN96" s="1470"/>
      <c r="AO96" s="1470"/>
      <c r="AP96" s="1470"/>
      <c r="AQ96" s="1470"/>
      <c r="AR96" s="1470"/>
      <c r="AS96" s="1470"/>
      <c r="AT96" s="1470"/>
      <c r="AU96" s="1470"/>
      <c r="AV96" s="1470"/>
      <c r="AW96" s="1470"/>
      <c r="AX96" s="1470"/>
      <c r="AY96" s="1470"/>
      <c r="AZ96" s="1470"/>
      <c r="BA96" s="1470"/>
      <c r="BB96" s="1471"/>
      <c r="BC96" s="1203"/>
      <c r="BD96" s="1203"/>
      <c r="BE96" s="1210"/>
      <c r="BH96" s="1232"/>
      <c r="BI96" s="1232"/>
      <c r="BJ96" s="1232"/>
      <c r="BK96" s="1232"/>
      <c r="BL96" s="1232"/>
      <c r="BM96" s="1232"/>
      <c r="BN96" s="1232"/>
      <c r="BO96" s="1232"/>
      <c r="BP96" s="1232"/>
      <c r="BQ96" s="1232"/>
      <c r="BR96" s="1232"/>
      <c r="BS96" s="1232"/>
      <c r="CM96" s="1201"/>
      <c r="CN96" s="1201"/>
      <c r="CO96" s="1201"/>
      <c r="CP96" s="1201"/>
    </row>
    <row r="97" spans="1:94" ht="15.75" customHeight="1" thickBot="1">
      <c r="A97" s="1203"/>
      <c r="B97" s="1812" t="s">
        <v>2048</v>
      </c>
      <c r="C97" s="1685"/>
      <c r="D97" s="1685"/>
      <c r="E97" s="1685"/>
      <c r="F97" s="1685"/>
      <c r="G97" s="1685"/>
      <c r="H97" s="1279"/>
      <c r="I97" s="1717">
        <v>0</v>
      </c>
      <c r="J97" s="1709"/>
      <c r="K97" s="1709"/>
      <c r="L97" s="1709"/>
      <c r="M97" s="1709"/>
      <c r="N97" s="1718"/>
      <c r="O97" s="1717">
        <v>0</v>
      </c>
      <c r="P97" s="1709"/>
      <c r="Q97" s="1709"/>
      <c r="R97" s="1709"/>
      <c r="S97" s="1709"/>
      <c r="T97" s="1709"/>
      <c r="U97" s="1718"/>
      <c r="V97" s="1717">
        <v>0</v>
      </c>
      <c r="W97" s="1709"/>
      <c r="X97" s="1709"/>
      <c r="Y97" s="1709"/>
      <c r="Z97" s="1709"/>
      <c r="AA97" s="1718"/>
      <c r="AB97" s="1717">
        <v>0</v>
      </c>
      <c r="AC97" s="1709"/>
      <c r="AD97" s="1709"/>
      <c r="AE97" s="1709"/>
      <c r="AF97" s="1709"/>
      <c r="AG97" s="1709"/>
      <c r="AH97" s="1718"/>
      <c r="AI97" s="1203"/>
      <c r="AJ97" s="1714"/>
      <c r="AK97" s="1294"/>
      <c r="AL97" s="1294"/>
      <c r="AM97" s="1294"/>
      <c r="AN97" s="1294"/>
      <c r="AO97" s="1294"/>
      <c r="AP97" s="1294"/>
      <c r="AQ97" s="1294"/>
      <c r="AR97" s="1294"/>
      <c r="AS97" s="1294"/>
      <c r="AT97" s="1294"/>
      <c r="AU97" s="1294"/>
      <c r="AV97" s="1294"/>
      <c r="AW97" s="1294"/>
      <c r="AX97" s="1294"/>
      <c r="AY97" s="1294"/>
      <c r="AZ97" s="1294"/>
      <c r="BA97" s="1294"/>
      <c r="BB97" s="1388"/>
      <c r="BC97" s="1203"/>
      <c r="BD97" s="1203"/>
      <c r="BE97" s="1210"/>
      <c r="BH97" s="1232"/>
      <c r="BI97" s="1232"/>
      <c r="BJ97" s="1232"/>
      <c r="BK97" s="1232"/>
      <c r="BL97" s="1232"/>
      <c r="BM97" s="1232"/>
      <c r="BN97" s="1232"/>
      <c r="BO97" s="1232"/>
      <c r="BP97" s="1232"/>
      <c r="BQ97" s="1232"/>
      <c r="BR97" s="1232"/>
      <c r="BS97" s="1232"/>
      <c r="CM97" s="1201"/>
      <c r="CN97" s="1201"/>
      <c r="CO97" s="1201"/>
      <c r="CP97" s="1201"/>
    </row>
    <row r="98" spans="1:94" ht="15.75" customHeight="1" thickBot="1">
      <c r="A98" s="1203"/>
      <c r="B98" s="1203"/>
      <c r="C98" s="1203"/>
      <c r="D98" s="1203"/>
      <c r="E98" s="1203"/>
      <c r="F98" s="1203"/>
      <c r="G98" s="1203"/>
      <c r="H98" s="1203"/>
      <c r="I98" s="1203"/>
      <c r="J98" s="1203"/>
      <c r="K98" s="1203"/>
      <c r="L98" s="1203"/>
      <c r="M98" s="1203"/>
      <c r="N98" s="1203"/>
      <c r="O98" s="1203"/>
      <c r="P98" s="1203"/>
      <c r="Q98" s="1203"/>
      <c r="R98" s="1203"/>
      <c r="S98" s="1203"/>
      <c r="T98" s="1203"/>
      <c r="U98" s="1203"/>
      <c r="V98" s="1203"/>
      <c r="W98" s="1203"/>
      <c r="X98" s="1203"/>
      <c r="Y98" s="1203"/>
      <c r="Z98" s="1203"/>
      <c r="AA98" s="1203"/>
      <c r="AB98" s="1203"/>
      <c r="AC98" s="1203"/>
      <c r="AD98" s="1203"/>
      <c r="AE98" s="1203"/>
      <c r="AF98" s="1203"/>
      <c r="AG98" s="1203"/>
      <c r="AH98" s="1203"/>
      <c r="AI98" s="1203"/>
      <c r="AJ98" s="1203"/>
      <c r="AK98" s="1203"/>
      <c r="AL98" s="1203"/>
      <c r="AM98" s="1203"/>
      <c r="AN98" s="1203"/>
      <c r="AO98" s="1203"/>
      <c r="AP98" s="1203"/>
      <c r="AQ98" s="1203"/>
      <c r="AR98" s="1203"/>
      <c r="AS98" s="1203"/>
      <c r="AT98" s="1203"/>
      <c r="AU98" s="1203"/>
      <c r="AV98" s="1203"/>
      <c r="AW98" s="1203"/>
      <c r="AX98" s="1203"/>
      <c r="AY98" s="1203"/>
      <c r="AZ98" s="1203"/>
      <c r="BA98" s="1203"/>
      <c r="BB98" s="1203"/>
      <c r="BC98" s="1203"/>
      <c r="BD98" s="1203"/>
      <c r="BE98" s="1210"/>
      <c r="BH98" s="1232"/>
      <c r="BI98" s="1232"/>
      <c r="BJ98" s="1232"/>
      <c r="BK98" s="1232"/>
      <c r="BL98" s="1232"/>
      <c r="BM98" s="1232"/>
      <c r="BN98" s="1232"/>
      <c r="BO98" s="1232"/>
      <c r="BP98" s="1232"/>
      <c r="BQ98" s="1232"/>
      <c r="BR98" s="1232"/>
      <c r="BS98" s="1232"/>
      <c r="CM98" s="1201"/>
      <c r="CN98" s="1201"/>
      <c r="CO98" s="1201"/>
      <c r="CP98" s="1201"/>
    </row>
    <row r="99" spans="1:94" ht="15.75" customHeight="1" thickBot="1">
      <c r="A99" s="1203"/>
      <c r="B99" s="1226" t="s">
        <v>2053</v>
      </c>
      <c r="C99" s="1220"/>
      <c r="D99" s="1221"/>
      <c r="E99" s="1221"/>
      <c r="F99" s="1234"/>
      <c r="G99" s="1234"/>
      <c r="H99" s="1234"/>
      <c r="I99" s="1234"/>
      <c r="J99" s="1234"/>
      <c r="K99" s="1234"/>
      <c r="L99" s="1234"/>
      <c r="M99" s="1234"/>
      <c r="N99" s="1234"/>
      <c r="O99" s="1235"/>
      <c r="P99" s="1234"/>
      <c r="Q99" s="1234"/>
      <c r="R99" s="1235"/>
      <c r="S99" s="1203" t="s">
        <v>366</v>
      </c>
      <c r="T99" s="1203"/>
      <c r="U99" s="1203"/>
      <c r="V99" s="1203"/>
      <c r="W99" s="1203"/>
      <c r="X99" s="1203"/>
      <c r="Y99" s="1203"/>
      <c r="Z99" s="1203"/>
      <c r="AA99" s="1203"/>
      <c r="AB99" s="1203"/>
      <c r="AC99" s="1203"/>
      <c r="AD99" s="1203"/>
      <c r="AE99" s="1203"/>
      <c r="AF99" s="1203"/>
      <c r="AG99" s="1203"/>
      <c r="AH99" s="1203"/>
      <c r="AI99" s="1203"/>
      <c r="AJ99" s="1203"/>
      <c r="AK99" s="1203"/>
      <c r="AL99" s="1203"/>
      <c r="AM99" s="1203"/>
      <c r="AN99" s="1203"/>
      <c r="AO99" s="1203"/>
      <c r="AP99" s="1203"/>
      <c r="AQ99" s="1203"/>
      <c r="AR99" s="1203"/>
      <c r="AS99" s="1203"/>
      <c r="AT99" s="1203"/>
      <c r="AU99" s="1203"/>
      <c r="AV99" s="1203"/>
      <c r="AW99" s="1203"/>
      <c r="AX99" s="1203"/>
      <c r="AY99" s="1203"/>
      <c r="AZ99" s="1203"/>
      <c r="BA99" s="1203"/>
      <c r="BB99" s="1203"/>
      <c r="BC99" s="1203"/>
      <c r="BD99" s="1203"/>
      <c r="BE99" s="1210"/>
      <c r="BH99" s="1232"/>
      <c r="BI99" s="1232"/>
      <c r="BJ99" s="1232"/>
      <c r="BK99" s="1232"/>
      <c r="BL99" s="1232"/>
      <c r="BM99" s="1232"/>
      <c r="BN99" s="1232"/>
      <c r="BO99" s="1232"/>
      <c r="BP99" s="1232"/>
      <c r="BQ99" s="1232"/>
      <c r="BR99" s="1232"/>
      <c r="BS99" s="1232"/>
      <c r="CM99" s="1201"/>
      <c r="CN99" s="1201"/>
      <c r="CO99" s="1201"/>
      <c r="CP99" s="1201"/>
    </row>
    <row r="100" spans="1:94" ht="15.75" customHeight="1">
      <c r="A100" s="1203"/>
      <c r="B100" s="1229" t="s">
        <v>2037</v>
      </c>
      <c r="C100" s="1229"/>
      <c r="D100" s="1236"/>
      <c r="E100" s="1237"/>
      <c r="F100" s="1781"/>
      <c r="G100" s="1374"/>
      <c r="H100" s="1374"/>
      <c r="I100" s="1374"/>
      <c r="J100" s="1374"/>
      <c r="K100" s="1374"/>
      <c r="L100" s="1374"/>
      <c r="M100" s="1374"/>
      <c r="N100" s="1374"/>
      <c r="O100" s="1374"/>
      <c r="P100" s="1374"/>
      <c r="Q100" s="1374"/>
      <c r="R100" s="1782"/>
      <c r="S100" s="1203"/>
      <c r="T100" s="1203"/>
      <c r="U100" s="1203"/>
      <c r="V100" s="1203"/>
      <c r="W100" s="1203"/>
      <c r="X100" s="1203"/>
      <c r="Y100" s="1203"/>
      <c r="Z100" s="1203"/>
      <c r="AA100" s="1203"/>
      <c r="AB100" s="1203"/>
      <c r="AC100" s="1203"/>
      <c r="AD100" s="1203"/>
      <c r="AE100" s="1203"/>
      <c r="AF100" s="1203"/>
      <c r="AG100" s="1203"/>
      <c r="AH100" s="1203"/>
      <c r="AI100" s="1203"/>
      <c r="AJ100" s="1203"/>
      <c r="AK100" s="1203"/>
      <c r="AL100" s="1203"/>
      <c r="AM100" s="1203"/>
      <c r="AN100" s="1203"/>
      <c r="AO100" s="1203"/>
      <c r="AP100" s="1203"/>
      <c r="AQ100" s="1203"/>
      <c r="AR100" s="1203"/>
      <c r="AS100" s="1203"/>
      <c r="AT100" s="1203"/>
      <c r="AU100" s="1203"/>
      <c r="AV100" s="1203"/>
      <c r="AW100" s="1203"/>
      <c r="AX100" s="1203"/>
      <c r="AY100" s="1203"/>
      <c r="AZ100" s="1203"/>
      <c r="BA100" s="1203"/>
      <c r="BB100" s="1203"/>
      <c r="BC100" s="1203"/>
      <c r="BD100" s="1203"/>
      <c r="BE100" s="1210"/>
      <c r="CM100" s="1201"/>
      <c r="CN100" s="1201"/>
      <c r="CO100" s="1201"/>
      <c r="CP100" s="1201"/>
    </row>
    <row r="101" spans="1:94" ht="15.75" customHeight="1" thickBot="1">
      <c r="A101" s="1203"/>
      <c r="B101" s="1203" t="s">
        <v>2054</v>
      </c>
      <c r="C101" s="1203"/>
      <c r="D101" s="1203"/>
      <c r="E101" s="1203"/>
      <c r="F101" s="1203"/>
      <c r="G101" s="1203"/>
      <c r="H101" s="1203"/>
      <c r="I101" s="1203"/>
      <c r="J101" s="1203"/>
      <c r="K101" s="1203"/>
      <c r="L101" s="1203"/>
      <c r="M101" s="1203"/>
      <c r="N101" s="1203"/>
      <c r="O101" s="1203"/>
      <c r="P101" s="1238"/>
      <c r="Q101" s="1203"/>
      <c r="R101" s="1203"/>
      <c r="S101" s="1203"/>
      <c r="T101" s="1203"/>
      <c r="U101" s="1203"/>
      <c r="V101" s="1203"/>
      <c r="W101" s="1203"/>
      <c r="X101" s="1203"/>
      <c r="Y101" s="1203"/>
      <c r="Z101" s="1203"/>
      <c r="AA101" s="1203"/>
      <c r="AB101" s="1203"/>
      <c r="AC101" s="1203"/>
      <c r="AD101" s="1203"/>
      <c r="AE101" s="1203"/>
      <c r="AF101" s="1203"/>
      <c r="AG101" s="1203"/>
      <c r="AH101" s="1203"/>
      <c r="AI101" s="1203"/>
      <c r="AJ101" s="1203"/>
      <c r="AK101" s="1203"/>
      <c r="AL101" s="1203"/>
      <c r="AM101" s="1203"/>
      <c r="AN101" s="1203"/>
      <c r="AO101" s="1203"/>
      <c r="AP101" s="1203"/>
      <c r="AQ101" s="1203"/>
      <c r="AR101" s="1203"/>
      <c r="AS101" s="1203"/>
      <c r="AT101" s="1203"/>
      <c r="AU101" s="1203"/>
      <c r="AV101" s="1203"/>
      <c r="AW101" s="1203"/>
      <c r="AX101" s="1203"/>
      <c r="AY101" s="1203"/>
      <c r="AZ101" s="1203"/>
      <c r="BA101" s="1203"/>
      <c r="BB101" s="1203"/>
      <c r="BC101" s="1203"/>
      <c r="BD101" s="1203"/>
      <c r="BE101" s="1210"/>
      <c r="CM101" s="1201"/>
      <c r="CN101" s="1201"/>
      <c r="CO101" s="1201"/>
      <c r="CP101" s="1201"/>
    </row>
    <row r="102" spans="1:94" ht="15.75" customHeight="1">
      <c r="A102" s="1203"/>
      <c r="B102" s="1733" t="s">
        <v>2055</v>
      </c>
      <c r="C102" s="1288"/>
      <c r="D102" s="1288"/>
      <c r="E102" s="1288"/>
      <c r="F102" s="1288"/>
      <c r="G102" s="1288"/>
      <c r="H102" s="1288"/>
      <c r="I102" s="1288"/>
      <c r="J102" s="1288"/>
      <c r="K102" s="1288"/>
      <c r="L102" s="1288"/>
      <c r="M102" s="1288"/>
      <c r="N102" s="1288"/>
      <c r="O102" s="1288"/>
      <c r="P102" s="1288"/>
      <c r="Q102" s="1288"/>
      <c r="R102" s="1288"/>
      <c r="S102" s="1288"/>
      <c r="T102" s="1288"/>
      <c r="U102" s="1288"/>
      <c r="V102" s="1288"/>
      <c r="W102" s="1288"/>
      <c r="X102" s="1288"/>
      <c r="Y102" s="1288"/>
      <c r="Z102" s="1288"/>
      <c r="AA102" s="1288"/>
      <c r="AB102" s="1288"/>
      <c r="AC102" s="1288"/>
      <c r="AD102" s="1288"/>
      <c r="AE102" s="1288"/>
      <c r="AF102" s="1288"/>
      <c r="AG102" s="1288"/>
      <c r="AH102" s="1272"/>
      <c r="AI102" s="1203"/>
      <c r="AJ102" s="1203"/>
      <c r="AK102" s="1203"/>
      <c r="AL102" s="1203"/>
      <c r="AM102" s="1203"/>
      <c r="AN102" s="1203"/>
      <c r="AO102" s="1203"/>
      <c r="AP102" s="1203"/>
      <c r="AQ102" s="1203"/>
      <c r="AR102" s="1203"/>
      <c r="AS102" s="1203"/>
      <c r="AT102" s="1203"/>
      <c r="AU102" s="1203"/>
      <c r="AV102" s="1203"/>
      <c r="AW102" s="1203"/>
      <c r="AX102" s="1203"/>
      <c r="AY102" s="1203"/>
      <c r="AZ102" s="1203"/>
      <c r="BA102" s="1203"/>
      <c r="BB102" s="1203"/>
      <c r="BC102" s="1203"/>
      <c r="BD102" s="1203"/>
      <c r="BE102" s="1210"/>
      <c r="CM102" s="1201"/>
      <c r="CN102" s="1201"/>
      <c r="CO102" s="1201"/>
      <c r="CP102" s="1201"/>
    </row>
    <row r="103" spans="1:94" ht="16.5" customHeight="1">
      <c r="A103" s="1203"/>
      <c r="B103" s="1707"/>
      <c r="C103" s="1417"/>
      <c r="D103" s="1417"/>
      <c r="E103" s="1417"/>
      <c r="F103" s="1417"/>
      <c r="G103" s="1417"/>
      <c r="H103" s="1423"/>
      <c r="I103" s="1749" t="s">
        <v>2041</v>
      </c>
      <c r="J103" s="1417"/>
      <c r="K103" s="1417"/>
      <c r="L103" s="1417"/>
      <c r="M103" s="1417"/>
      <c r="N103" s="1423"/>
      <c r="O103" s="1749" t="s">
        <v>2042</v>
      </c>
      <c r="P103" s="1417"/>
      <c r="Q103" s="1417"/>
      <c r="R103" s="1417"/>
      <c r="S103" s="1417"/>
      <c r="T103" s="1417"/>
      <c r="U103" s="1423"/>
      <c r="V103" s="1787" t="s">
        <v>2043</v>
      </c>
      <c r="W103" s="1417"/>
      <c r="X103" s="1417"/>
      <c r="Y103" s="1417"/>
      <c r="Z103" s="1417"/>
      <c r="AA103" s="1423"/>
      <c r="AB103" s="1804" t="s">
        <v>2044</v>
      </c>
      <c r="AC103" s="1417"/>
      <c r="AD103" s="1417"/>
      <c r="AE103" s="1417"/>
      <c r="AF103" s="1417"/>
      <c r="AG103" s="1417"/>
      <c r="AH103" s="1423"/>
      <c r="AI103" s="1203"/>
      <c r="AJ103" s="1203"/>
      <c r="AK103" s="1203"/>
      <c r="AL103" s="1203"/>
      <c r="AM103" s="1203"/>
      <c r="AN103" s="1203"/>
      <c r="AO103" s="1203"/>
      <c r="AP103" s="1203"/>
      <c r="AQ103" s="1203"/>
      <c r="AR103" s="1203"/>
      <c r="AS103" s="1203"/>
      <c r="AT103" s="1203"/>
      <c r="AU103" s="1203"/>
      <c r="AV103" s="1203"/>
      <c r="AW103" s="1203"/>
      <c r="AX103" s="1203"/>
      <c r="AY103" s="1203"/>
      <c r="AZ103" s="1203"/>
      <c r="BA103" s="1203"/>
      <c r="BB103" s="1203"/>
      <c r="BC103" s="1203"/>
      <c r="BD103" s="1203"/>
      <c r="BE103" s="1210"/>
      <c r="CM103" s="1201"/>
      <c r="CN103" s="1201"/>
      <c r="CO103" s="1201"/>
      <c r="CP103" s="1201"/>
    </row>
    <row r="104" spans="1:94" ht="16.5" customHeight="1">
      <c r="A104" s="1203"/>
      <c r="B104" s="1754"/>
      <c r="C104" s="1405"/>
      <c r="D104" s="1405"/>
      <c r="E104" s="1405"/>
      <c r="F104" s="1405"/>
      <c r="G104" s="1405"/>
      <c r="H104" s="1296"/>
      <c r="I104" s="1404"/>
      <c r="J104" s="1405"/>
      <c r="K104" s="1405"/>
      <c r="L104" s="1405"/>
      <c r="M104" s="1405"/>
      <c r="N104" s="1296"/>
      <c r="O104" s="1404"/>
      <c r="P104" s="1405"/>
      <c r="Q104" s="1405"/>
      <c r="R104" s="1405"/>
      <c r="S104" s="1405"/>
      <c r="T104" s="1405"/>
      <c r="U104" s="1296"/>
      <c r="V104" s="1404"/>
      <c r="W104" s="1405"/>
      <c r="X104" s="1405"/>
      <c r="Y104" s="1405"/>
      <c r="Z104" s="1405"/>
      <c r="AA104" s="1296"/>
      <c r="AB104" s="1404"/>
      <c r="AC104" s="1405"/>
      <c r="AD104" s="1405"/>
      <c r="AE104" s="1405"/>
      <c r="AF104" s="1405"/>
      <c r="AG104" s="1405"/>
      <c r="AH104" s="1296"/>
      <c r="AI104" s="1203"/>
      <c r="AJ104" s="1203"/>
      <c r="AK104" s="1203"/>
      <c r="AL104" s="1203"/>
      <c r="AM104" s="1203"/>
      <c r="AN104" s="1203"/>
      <c r="AO104" s="1203"/>
      <c r="AP104" s="1203"/>
      <c r="AQ104" s="1203"/>
      <c r="AR104" s="1203"/>
      <c r="AS104" s="1203"/>
      <c r="AT104" s="1203"/>
      <c r="AU104" s="1203"/>
      <c r="AV104" s="1203"/>
      <c r="AW104" s="1203"/>
      <c r="AX104" s="1203"/>
      <c r="AY104" s="1203"/>
      <c r="AZ104" s="1203"/>
      <c r="BA104" s="1203"/>
      <c r="BB104" s="1203"/>
      <c r="BC104" s="1203"/>
      <c r="BD104" s="1203"/>
      <c r="BE104" s="1210"/>
      <c r="CM104" s="1201"/>
      <c r="CN104" s="1201"/>
      <c r="CO104" s="1201"/>
      <c r="CP104" s="1201"/>
    </row>
    <row r="105" spans="1:94" ht="15.75" customHeight="1">
      <c r="A105" s="1203"/>
      <c r="B105" s="1707" t="s">
        <v>2045</v>
      </c>
      <c r="C105" s="1263"/>
      <c r="D105" s="1263"/>
      <c r="E105" s="1263"/>
      <c r="F105" s="1263"/>
      <c r="G105" s="1263"/>
      <c r="H105" s="1264"/>
      <c r="I105" s="1753">
        <v>0</v>
      </c>
      <c r="J105" s="1374"/>
      <c r="K105" s="1374"/>
      <c r="L105" s="1374"/>
      <c r="M105" s="1374"/>
      <c r="N105" s="1375"/>
      <c r="O105" s="1753">
        <v>0</v>
      </c>
      <c r="P105" s="1374"/>
      <c r="Q105" s="1374"/>
      <c r="R105" s="1374"/>
      <c r="S105" s="1374"/>
      <c r="T105" s="1374"/>
      <c r="U105" s="1375"/>
      <c r="V105" s="1753">
        <v>0</v>
      </c>
      <c r="W105" s="1374"/>
      <c r="X105" s="1374"/>
      <c r="Y105" s="1374"/>
      <c r="Z105" s="1374"/>
      <c r="AA105" s="1375"/>
      <c r="AB105" s="1753">
        <v>0</v>
      </c>
      <c r="AC105" s="1374"/>
      <c r="AD105" s="1374"/>
      <c r="AE105" s="1374"/>
      <c r="AF105" s="1374"/>
      <c r="AG105" s="1374"/>
      <c r="AH105" s="1375"/>
      <c r="AI105" s="1203"/>
      <c r="AJ105" s="1203"/>
      <c r="AK105" s="1203"/>
      <c r="AL105" s="1203"/>
      <c r="AM105" s="1203"/>
      <c r="AN105" s="1203"/>
      <c r="AO105" s="1203"/>
      <c r="AP105" s="1203"/>
      <c r="AQ105" s="1203"/>
      <c r="AR105" s="1203"/>
      <c r="AS105" s="1203"/>
      <c r="AT105" s="1203"/>
      <c r="AU105" s="1203"/>
      <c r="AV105" s="1203"/>
      <c r="AW105" s="1203"/>
      <c r="AX105" s="1203"/>
      <c r="AY105" s="1203"/>
      <c r="AZ105" s="1203"/>
      <c r="BA105" s="1203"/>
      <c r="BB105" s="1203"/>
      <c r="BC105" s="1203"/>
      <c r="BD105" s="1203"/>
      <c r="BE105" s="1210"/>
      <c r="CM105" s="1201"/>
      <c r="CN105" s="1201"/>
      <c r="CO105" s="1201"/>
      <c r="CP105" s="1201"/>
    </row>
    <row r="106" spans="1:94" ht="15.75" customHeight="1">
      <c r="A106" s="1203"/>
      <c r="B106" s="1707" t="s">
        <v>2046</v>
      </c>
      <c r="C106" s="1263"/>
      <c r="D106" s="1263"/>
      <c r="E106" s="1263"/>
      <c r="F106" s="1263"/>
      <c r="G106" s="1263"/>
      <c r="H106" s="1264"/>
      <c r="I106" s="1753">
        <v>0</v>
      </c>
      <c r="J106" s="1374"/>
      <c r="K106" s="1374"/>
      <c r="L106" s="1374"/>
      <c r="M106" s="1374"/>
      <c r="N106" s="1375"/>
      <c r="O106" s="1753">
        <v>0</v>
      </c>
      <c r="P106" s="1374"/>
      <c r="Q106" s="1374"/>
      <c r="R106" s="1374"/>
      <c r="S106" s="1374"/>
      <c r="T106" s="1374"/>
      <c r="U106" s="1375"/>
      <c r="V106" s="1753">
        <v>0</v>
      </c>
      <c r="W106" s="1374"/>
      <c r="X106" s="1374"/>
      <c r="Y106" s="1374"/>
      <c r="Z106" s="1374"/>
      <c r="AA106" s="1375"/>
      <c r="AB106" s="1753">
        <v>0</v>
      </c>
      <c r="AC106" s="1374"/>
      <c r="AD106" s="1374"/>
      <c r="AE106" s="1374"/>
      <c r="AF106" s="1374"/>
      <c r="AG106" s="1374"/>
      <c r="AH106" s="1375"/>
      <c r="AI106" s="1203"/>
      <c r="AJ106" s="1203"/>
      <c r="AK106" s="1203"/>
      <c r="AL106" s="1203"/>
      <c r="AM106" s="1203"/>
      <c r="AN106" s="1203"/>
      <c r="AO106" s="1203"/>
      <c r="AP106" s="1203"/>
      <c r="AQ106" s="1203"/>
      <c r="AR106" s="1203"/>
      <c r="AS106" s="1203"/>
      <c r="AT106" s="1203"/>
      <c r="AU106" s="1203"/>
      <c r="AV106" s="1203"/>
      <c r="AW106" s="1203"/>
      <c r="AX106" s="1203"/>
      <c r="AY106" s="1203"/>
      <c r="AZ106" s="1203"/>
      <c r="BA106" s="1203"/>
      <c r="BB106" s="1203"/>
      <c r="BC106" s="1203"/>
      <c r="BD106" s="1203"/>
      <c r="BE106" s="1210"/>
      <c r="CM106" s="1201"/>
      <c r="CN106" s="1201"/>
      <c r="CO106" s="1201"/>
      <c r="CP106" s="1201"/>
    </row>
    <row r="107" spans="1:94" ht="15.75" customHeight="1" thickBot="1">
      <c r="A107" s="1203"/>
      <c r="B107" s="1812" t="s">
        <v>2048</v>
      </c>
      <c r="C107" s="1685"/>
      <c r="D107" s="1685"/>
      <c r="E107" s="1685"/>
      <c r="F107" s="1685"/>
      <c r="G107" s="1685"/>
      <c r="H107" s="1279"/>
      <c r="I107" s="1717">
        <v>0</v>
      </c>
      <c r="J107" s="1709"/>
      <c r="K107" s="1709"/>
      <c r="L107" s="1709"/>
      <c r="M107" s="1709"/>
      <c r="N107" s="1718"/>
      <c r="O107" s="1717">
        <v>0</v>
      </c>
      <c r="P107" s="1709"/>
      <c r="Q107" s="1709"/>
      <c r="R107" s="1709"/>
      <c r="S107" s="1709"/>
      <c r="T107" s="1709"/>
      <c r="U107" s="1718"/>
      <c r="V107" s="1717">
        <v>0</v>
      </c>
      <c r="W107" s="1709"/>
      <c r="X107" s="1709"/>
      <c r="Y107" s="1709"/>
      <c r="Z107" s="1709"/>
      <c r="AA107" s="1718"/>
      <c r="AB107" s="1717">
        <v>0</v>
      </c>
      <c r="AC107" s="1709"/>
      <c r="AD107" s="1709"/>
      <c r="AE107" s="1709"/>
      <c r="AF107" s="1709"/>
      <c r="AG107" s="1709"/>
      <c r="AH107" s="1718"/>
      <c r="AI107" s="1203"/>
      <c r="AJ107" s="1203"/>
      <c r="AK107" s="1203"/>
      <c r="AL107" s="1203"/>
      <c r="AM107" s="1203"/>
      <c r="AN107" s="1203"/>
      <c r="AO107" s="1203"/>
      <c r="AP107" s="1203"/>
      <c r="AQ107" s="1203"/>
      <c r="AR107" s="1203"/>
      <c r="AS107" s="1203"/>
      <c r="AT107" s="1203"/>
      <c r="AU107" s="1203"/>
      <c r="AV107" s="1203"/>
      <c r="AW107" s="1203"/>
      <c r="AX107" s="1203"/>
      <c r="AY107" s="1203"/>
      <c r="AZ107" s="1203"/>
      <c r="BA107" s="1203"/>
      <c r="BB107" s="1203"/>
      <c r="BC107" s="1203"/>
      <c r="BD107" s="1203"/>
      <c r="BE107" s="1210"/>
      <c r="CM107" s="1201"/>
      <c r="CN107" s="1201"/>
      <c r="CO107" s="1201"/>
      <c r="CP107" s="1201"/>
    </row>
    <row r="108" spans="1:94" ht="15.75" customHeight="1" thickBot="1">
      <c r="A108" s="1203"/>
      <c r="B108" s="1203"/>
      <c r="C108" s="1203"/>
      <c r="D108" s="1203"/>
      <c r="E108" s="1203"/>
      <c r="F108" s="1203"/>
      <c r="G108" s="1203"/>
      <c r="H108" s="1203"/>
      <c r="I108" s="1203"/>
      <c r="J108" s="1203"/>
      <c r="K108" s="1203"/>
      <c r="L108" s="1203"/>
      <c r="M108" s="1203"/>
      <c r="N108" s="1203"/>
      <c r="O108" s="1203"/>
      <c r="P108" s="1203"/>
      <c r="Q108" s="1203"/>
      <c r="R108" s="1203"/>
      <c r="S108" s="1203"/>
      <c r="T108" s="1203"/>
      <c r="U108" s="1203" t="s">
        <v>366</v>
      </c>
      <c r="V108" s="1203"/>
      <c r="W108" s="1203"/>
      <c r="X108" s="1203"/>
      <c r="Y108" s="1203"/>
      <c r="Z108" s="1203"/>
      <c r="AA108" s="1203"/>
      <c r="AB108" s="1203"/>
      <c r="AC108" s="1203"/>
      <c r="AD108" s="1203"/>
      <c r="AE108" s="1203"/>
      <c r="AF108" s="1203"/>
      <c r="AG108" s="1203"/>
      <c r="AH108" s="1203"/>
      <c r="AI108" s="1203"/>
      <c r="AJ108" s="1203"/>
      <c r="AK108" s="1203"/>
      <c r="AL108" s="1203"/>
      <c r="AM108" s="1203"/>
      <c r="AN108" s="1203"/>
      <c r="AO108" s="1203"/>
      <c r="AP108" s="1203"/>
      <c r="AQ108" s="1203"/>
      <c r="AR108" s="1203"/>
      <c r="AS108" s="1203"/>
      <c r="AT108" s="1203"/>
      <c r="AU108" s="1203"/>
      <c r="AV108" s="1203"/>
      <c r="AW108" s="1203"/>
      <c r="AX108" s="1203"/>
      <c r="AY108" s="1203"/>
      <c r="AZ108" s="1203"/>
      <c r="BA108" s="1203"/>
      <c r="BB108" s="1203"/>
      <c r="BC108" s="1203"/>
      <c r="BD108" s="1203"/>
      <c r="BE108" s="1210"/>
    </row>
    <row r="109" spans="1:94" ht="15.75" customHeight="1" thickBot="1">
      <c r="A109" s="1203"/>
      <c r="B109" s="1219" t="s">
        <v>2056</v>
      </c>
      <c r="C109" s="1225"/>
      <c r="D109" s="1225"/>
      <c r="E109" s="1225"/>
      <c r="F109" s="1225"/>
      <c r="G109" s="1225"/>
      <c r="H109" s="1225"/>
      <c r="I109" s="1225"/>
      <c r="J109" s="1225"/>
      <c r="K109" s="1225"/>
      <c r="L109" s="1225"/>
      <c r="M109" s="1225"/>
      <c r="N109" s="1225"/>
      <c r="O109" s="1225"/>
      <c r="P109" s="1225"/>
      <c r="Q109" s="1225"/>
      <c r="R109" s="1239"/>
      <c r="S109" s="1203"/>
      <c r="T109" s="1203"/>
      <c r="U109" s="1203"/>
      <c r="V109" s="1203"/>
      <c r="W109" s="1203"/>
      <c r="X109" s="1203"/>
      <c r="Y109" s="1203"/>
      <c r="Z109" s="1203"/>
      <c r="AA109" s="1203"/>
      <c r="AB109" s="1203"/>
      <c r="AC109" s="1203"/>
      <c r="AD109" s="1203"/>
      <c r="AE109" s="1203"/>
      <c r="AF109" s="1203"/>
      <c r="AG109" s="1203"/>
      <c r="AH109" s="1203"/>
      <c r="AI109" s="1203"/>
      <c r="AJ109" s="1203"/>
      <c r="AK109" s="1203"/>
      <c r="AL109" s="1203"/>
      <c r="AM109" s="1203"/>
      <c r="AN109" s="1203"/>
      <c r="AO109" s="1203"/>
      <c r="AP109" s="1203"/>
      <c r="AQ109" s="1203"/>
      <c r="AR109" s="1203"/>
      <c r="AS109" s="1203"/>
      <c r="AT109" s="1203"/>
      <c r="AU109" s="1203"/>
      <c r="AV109" s="1203"/>
      <c r="AW109" s="1203"/>
      <c r="AX109" s="1203"/>
      <c r="AY109" s="1203"/>
      <c r="AZ109" s="1203"/>
      <c r="BA109" s="1203"/>
      <c r="BB109" s="1203"/>
      <c r="BC109" s="1203"/>
      <c r="BD109" s="1203"/>
      <c r="BE109" s="1210"/>
    </row>
    <row r="110" spans="1:94" ht="15.75" customHeight="1">
      <c r="A110" s="1203"/>
      <c r="B110" s="1229" t="s">
        <v>2037</v>
      </c>
      <c r="C110" s="1229"/>
      <c r="D110" s="1236"/>
      <c r="E110" s="1237"/>
      <c r="F110" s="1781"/>
      <c r="G110" s="1374"/>
      <c r="H110" s="1374"/>
      <c r="I110" s="1374"/>
      <c r="J110" s="1374"/>
      <c r="K110" s="1374"/>
      <c r="L110" s="1374"/>
      <c r="M110" s="1374"/>
      <c r="N110" s="1374"/>
      <c r="O110" s="1374"/>
      <c r="P110" s="1374"/>
      <c r="Q110" s="1374"/>
      <c r="R110" s="1782"/>
      <c r="S110" s="1203"/>
      <c r="T110" s="1203"/>
      <c r="U110" s="1203"/>
      <c r="V110" s="1203"/>
      <c r="W110" s="1203"/>
      <c r="X110" s="1203"/>
      <c r="Y110" s="1203"/>
      <c r="Z110" s="1203"/>
      <c r="AA110" s="1203"/>
      <c r="AB110" s="1203"/>
      <c r="AC110" s="1203"/>
      <c r="AD110" s="1203"/>
      <c r="AE110" s="1203"/>
      <c r="AF110" s="1203"/>
      <c r="AG110" s="1203"/>
      <c r="AH110" s="1203"/>
      <c r="AI110" s="1203"/>
      <c r="AJ110" s="1203"/>
      <c r="AK110" s="1203"/>
      <c r="AL110" s="1203"/>
      <c r="AM110" s="1203"/>
      <c r="AN110" s="1203"/>
      <c r="AO110" s="1203"/>
      <c r="AP110" s="1203"/>
      <c r="AQ110" s="1203"/>
      <c r="AR110" s="1203"/>
      <c r="AS110" s="1203"/>
      <c r="AT110" s="1203"/>
      <c r="AU110" s="1203"/>
      <c r="AV110" s="1203"/>
      <c r="AW110" s="1203"/>
      <c r="AX110" s="1203"/>
      <c r="AY110" s="1203"/>
      <c r="AZ110" s="1203"/>
      <c r="BA110" s="1203"/>
      <c r="BB110" s="1203"/>
      <c r="BC110" s="1203"/>
      <c r="BD110" s="1203"/>
      <c r="BE110" s="1210"/>
    </row>
    <row r="111" spans="1:94" ht="15.75" customHeight="1" thickBot="1">
      <c r="A111" s="1203"/>
      <c r="B111" s="1203"/>
      <c r="C111" s="1203"/>
      <c r="D111" s="1203"/>
      <c r="E111" s="1203"/>
      <c r="F111" s="1203"/>
      <c r="G111" s="1203"/>
      <c r="H111" s="1203"/>
      <c r="I111" s="1203"/>
      <c r="J111" s="1203"/>
      <c r="K111" s="1203"/>
      <c r="L111" s="1203"/>
      <c r="M111" s="1203"/>
      <c r="N111" s="1203"/>
      <c r="O111" s="1203"/>
      <c r="P111" s="1203"/>
      <c r="Q111" s="1203"/>
      <c r="R111" s="1203"/>
      <c r="S111" s="1203"/>
      <c r="T111" s="1203"/>
      <c r="U111" s="1203"/>
      <c r="V111" s="1203"/>
      <c r="W111" s="1203"/>
      <c r="X111" s="1203"/>
      <c r="Y111" s="1203"/>
      <c r="Z111" s="1203"/>
      <c r="AA111" s="1203"/>
      <c r="AB111" s="1203"/>
      <c r="AC111" s="1203"/>
      <c r="AD111" s="1203"/>
      <c r="AE111" s="1203"/>
      <c r="AF111" s="1203"/>
      <c r="AG111" s="1203"/>
      <c r="AH111" s="1203"/>
      <c r="AI111" s="1203"/>
      <c r="AJ111" s="1203"/>
      <c r="AK111" s="1203"/>
      <c r="AL111" s="1203"/>
      <c r="AM111" s="1203"/>
      <c r="AN111" s="1203"/>
      <c r="AO111" s="1203"/>
      <c r="AP111" s="1203"/>
      <c r="AQ111" s="1203"/>
      <c r="AR111" s="1203"/>
      <c r="AS111" s="1203"/>
      <c r="AT111" s="1203"/>
      <c r="AU111" s="1203"/>
      <c r="AV111" s="1203"/>
      <c r="AW111" s="1203"/>
      <c r="AX111" s="1203"/>
      <c r="AY111" s="1203"/>
      <c r="AZ111" s="1203"/>
      <c r="BA111" s="1203"/>
      <c r="BB111" s="1203"/>
      <c r="BC111" s="1203"/>
      <c r="BD111" s="1203"/>
      <c r="BE111" s="1210"/>
    </row>
    <row r="112" spans="1:94" ht="15.75" customHeight="1">
      <c r="A112" s="1203"/>
      <c r="B112" s="1897" t="s">
        <v>2057</v>
      </c>
      <c r="C112" s="1723"/>
      <c r="D112" s="1723"/>
      <c r="E112" s="1723"/>
      <c r="F112" s="1723"/>
      <c r="G112" s="1723"/>
      <c r="H112" s="1723"/>
      <c r="I112" s="1723"/>
      <c r="J112" s="1723"/>
      <c r="K112" s="1723"/>
      <c r="L112" s="1723"/>
      <c r="M112" s="1723"/>
      <c r="N112" s="1723"/>
      <c r="O112" s="1723"/>
      <c r="P112" s="1723"/>
      <c r="Q112" s="1723"/>
      <c r="R112" s="1723"/>
      <c r="S112" s="1723"/>
      <c r="T112" s="1724"/>
      <c r="U112" s="1859" t="s">
        <v>969</v>
      </c>
      <c r="V112" s="1723"/>
      <c r="W112" s="1723"/>
      <c r="X112" s="1724"/>
      <c r="Y112" s="1203"/>
      <c r="Z112" s="1203"/>
      <c r="AA112" s="1203"/>
      <c r="AB112" s="1203"/>
      <c r="AC112" s="1203"/>
      <c r="AD112" s="1203"/>
      <c r="AE112" s="1203"/>
      <c r="AF112" s="1203"/>
      <c r="AG112" s="1203"/>
      <c r="AH112" s="1203"/>
      <c r="AI112" s="1203"/>
      <c r="AJ112" s="1203"/>
      <c r="AK112" s="1203"/>
      <c r="AL112" s="1203"/>
      <c r="AM112" s="1203"/>
      <c r="AN112" s="1203"/>
      <c r="AO112" s="1203"/>
      <c r="AP112" s="1203"/>
      <c r="AQ112" s="1203"/>
      <c r="AR112" s="1203"/>
      <c r="AS112" s="1203"/>
      <c r="AT112" s="1203"/>
      <c r="AU112" s="1203"/>
      <c r="AV112" s="1203"/>
      <c r="AW112" s="1203"/>
      <c r="AX112" s="1203"/>
      <c r="AY112" s="1203"/>
      <c r="AZ112" s="1203"/>
      <c r="BA112" s="1203"/>
      <c r="BB112" s="1203"/>
      <c r="BC112" s="1203"/>
      <c r="BD112" s="1203"/>
      <c r="BE112" s="1210"/>
    </row>
    <row r="113" spans="1:57" ht="15.75" customHeight="1">
      <c r="A113" s="1203"/>
      <c r="B113" s="1712"/>
      <c r="C113" s="1293"/>
      <c r="D113" s="1293"/>
      <c r="E113" s="1293"/>
      <c r="F113" s="1293"/>
      <c r="G113" s="1293"/>
      <c r="H113" s="1293"/>
      <c r="I113" s="1293"/>
      <c r="J113" s="1293"/>
      <c r="K113" s="1293"/>
      <c r="L113" s="1293"/>
      <c r="M113" s="1293"/>
      <c r="N113" s="1293"/>
      <c r="O113" s="1293"/>
      <c r="P113" s="1293"/>
      <c r="Q113" s="1293"/>
      <c r="R113" s="1293"/>
      <c r="S113" s="1293"/>
      <c r="T113" s="1713"/>
      <c r="U113" s="1725"/>
      <c r="V113" s="1293"/>
      <c r="W113" s="1293"/>
      <c r="X113" s="1713"/>
      <c r="Y113" s="1203"/>
      <c r="Z113" s="1203"/>
      <c r="AA113" s="1203"/>
      <c r="AB113" s="1203"/>
      <c r="AC113" s="1203"/>
      <c r="AD113" s="1203"/>
      <c r="AE113" s="1203"/>
      <c r="AF113" s="1203"/>
      <c r="AG113" s="1203"/>
      <c r="AH113" s="1203"/>
      <c r="AI113" s="1203"/>
      <c r="AJ113" s="1203"/>
      <c r="AK113" s="1203"/>
      <c r="AL113" s="1203"/>
      <c r="AM113" s="1203"/>
      <c r="AN113" s="1203"/>
      <c r="AO113" s="1203"/>
      <c r="AP113" s="1203"/>
      <c r="AQ113" s="1203"/>
      <c r="AR113" s="1203"/>
      <c r="AS113" s="1203"/>
      <c r="AT113" s="1203"/>
      <c r="AU113" s="1203"/>
      <c r="AV113" s="1203"/>
      <c r="AW113" s="1203"/>
      <c r="AX113" s="1203"/>
      <c r="AY113" s="1203"/>
      <c r="AZ113" s="1203"/>
      <c r="BA113" s="1203"/>
      <c r="BB113" s="1203"/>
      <c r="BC113" s="1203"/>
      <c r="BD113" s="1203"/>
      <c r="BE113" s="1210"/>
    </row>
    <row r="114" spans="1:57" ht="15.75" customHeight="1">
      <c r="A114" s="1203"/>
      <c r="B114" s="1712"/>
      <c r="C114" s="1293"/>
      <c r="D114" s="1293"/>
      <c r="E114" s="1293"/>
      <c r="F114" s="1293"/>
      <c r="G114" s="1293"/>
      <c r="H114" s="1293"/>
      <c r="I114" s="1293"/>
      <c r="J114" s="1293"/>
      <c r="K114" s="1293"/>
      <c r="L114" s="1293"/>
      <c r="M114" s="1293"/>
      <c r="N114" s="1293"/>
      <c r="O114" s="1293"/>
      <c r="P114" s="1293"/>
      <c r="Q114" s="1293"/>
      <c r="R114" s="1293"/>
      <c r="S114" s="1293"/>
      <c r="T114" s="1713"/>
      <c r="U114" s="1725"/>
      <c r="V114" s="1293"/>
      <c r="W114" s="1293"/>
      <c r="X114" s="1713"/>
      <c r="Y114" s="1203"/>
      <c r="Z114" s="1203"/>
      <c r="AA114" s="1203"/>
      <c r="AB114" s="1203"/>
      <c r="AC114" s="1203"/>
      <c r="AD114" s="1203"/>
      <c r="AE114" s="1203"/>
      <c r="AF114" s="1203"/>
      <c r="AG114" s="1203"/>
      <c r="AH114" s="1203"/>
      <c r="AI114" s="1203"/>
      <c r="AJ114" s="1203"/>
      <c r="AK114" s="1203"/>
      <c r="AL114" s="1203"/>
      <c r="AM114" s="1203"/>
      <c r="AN114" s="1203"/>
      <c r="AO114" s="1203"/>
      <c r="AP114" s="1203"/>
      <c r="AQ114" s="1203"/>
      <c r="AR114" s="1203"/>
      <c r="AS114" s="1203"/>
      <c r="AT114" s="1203"/>
      <c r="AU114" s="1203"/>
      <c r="AV114" s="1203"/>
      <c r="AW114" s="1203"/>
      <c r="AX114" s="1203"/>
      <c r="AY114" s="1203"/>
      <c r="AZ114" s="1203"/>
      <c r="BA114" s="1203"/>
      <c r="BB114" s="1203"/>
      <c r="BC114" s="1203"/>
      <c r="BD114" s="1203"/>
      <c r="BE114" s="1210"/>
    </row>
    <row r="115" spans="1:57" ht="15.75" customHeight="1">
      <c r="A115" s="1203"/>
      <c r="B115" s="1714"/>
      <c r="C115" s="1294"/>
      <c r="D115" s="1294"/>
      <c r="E115" s="1294"/>
      <c r="F115" s="1294"/>
      <c r="G115" s="1294"/>
      <c r="H115" s="1294"/>
      <c r="I115" s="1294"/>
      <c r="J115" s="1294"/>
      <c r="K115" s="1294"/>
      <c r="L115" s="1294"/>
      <c r="M115" s="1294"/>
      <c r="N115" s="1294"/>
      <c r="O115" s="1294"/>
      <c r="P115" s="1294"/>
      <c r="Q115" s="1294"/>
      <c r="R115" s="1294"/>
      <c r="S115" s="1294"/>
      <c r="T115" s="1388"/>
      <c r="U115" s="1472"/>
      <c r="V115" s="1294"/>
      <c r="W115" s="1294"/>
      <c r="X115" s="1388"/>
      <c r="Y115" s="1203"/>
      <c r="Z115" s="1203"/>
      <c r="AA115" s="1203"/>
      <c r="AB115" s="1203"/>
      <c r="AC115" s="1203"/>
      <c r="AD115" s="1203"/>
      <c r="AE115" s="1203"/>
      <c r="AF115" s="1203"/>
      <c r="AG115" s="1203"/>
      <c r="AH115" s="1203"/>
      <c r="AI115" s="1203"/>
      <c r="AJ115" s="1203"/>
      <c r="AK115" s="1203"/>
      <c r="AL115" s="1203"/>
      <c r="AM115" s="1203"/>
      <c r="AN115" s="1203"/>
      <c r="AO115" s="1203"/>
      <c r="AP115" s="1203"/>
      <c r="AQ115" s="1203"/>
      <c r="AR115" s="1203"/>
      <c r="AS115" s="1203"/>
      <c r="AT115" s="1203"/>
      <c r="AU115" s="1203"/>
      <c r="AV115" s="1203"/>
      <c r="AW115" s="1203"/>
      <c r="AX115" s="1203"/>
      <c r="AY115" s="1203"/>
      <c r="AZ115" s="1203"/>
      <c r="BA115" s="1203"/>
      <c r="BB115" s="1203"/>
      <c r="BC115" s="1203"/>
      <c r="BD115" s="1203"/>
      <c r="BE115" s="1210"/>
    </row>
    <row r="116" spans="1:57" ht="15.75" customHeight="1">
      <c r="A116" s="1203"/>
      <c r="B116" s="1824" t="s">
        <v>2057</v>
      </c>
      <c r="C116" s="1470"/>
      <c r="D116" s="1470"/>
      <c r="E116" s="1470"/>
      <c r="F116" s="1470"/>
      <c r="G116" s="1470"/>
      <c r="H116" s="1470"/>
      <c r="I116" s="1470"/>
      <c r="J116" s="1470"/>
      <c r="K116" s="1470"/>
      <c r="L116" s="1470"/>
      <c r="M116" s="1470"/>
      <c r="N116" s="1470"/>
      <c r="O116" s="1470"/>
      <c r="P116" s="1470"/>
      <c r="Q116" s="1470"/>
      <c r="R116" s="1470"/>
      <c r="S116" s="1470"/>
      <c r="T116" s="1471"/>
      <c r="U116" s="1871" t="s">
        <v>969</v>
      </c>
      <c r="V116" s="1470"/>
      <c r="W116" s="1470"/>
      <c r="X116" s="1471"/>
      <c r="Y116" s="1203"/>
      <c r="Z116" s="1203"/>
      <c r="AA116" s="1203"/>
      <c r="AB116" s="1203"/>
      <c r="AC116" s="1203"/>
      <c r="AD116" s="1203"/>
      <c r="AE116" s="1203"/>
      <c r="AF116" s="1203"/>
      <c r="AG116" s="1203"/>
      <c r="AH116" s="1203"/>
      <c r="AI116" s="1203"/>
      <c r="AJ116" s="1203"/>
      <c r="AK116" s="1203"/>
      <c r="AL116" s="1203"/>
      <c r="AM116" s="1203"/>
      <c r="AN116" s="1203"/>
      <c r="AO116" s="1203"/>
      <c r="AP116" s="1203"/>
      <c r="AQ116" s="1203"/>
      <c r="AR116" s="1203"/>
      <c r="AS116" s="1203"/>
      <c r="AT116" s="1203"/>
      <c r="AU116" s="1203"/>
      <c r="AV116" s="1203"/>
      <c r="AW116" s="1203"/>
      <c r="AX116" s="1203"/>
      <c r="AY116" s="1203"/>
      <c r="AZ116" s="1203"/>
      <c r="BA116" s="1203"/>
      <c r="BB116" s="1203"/>
      <c r="BC116" s="1203"/>
      <c r="BD116" s="1203"/>
      <c r="BE116" s="1210"/>
    </row>
    <row r="117" spans="1:57" ht="15.75" customHeight="1" thickBot="1">
      <c r="A117" s="1203"/>
      <c r="B117" s="1714"/>
      <c r="C117" s="1294"/>
      <c r="D117" s="1294"/>
      <c r="E117" s="1294"/>
      <c r="F117" s="1294"/>
      <c r="G117" s="1294"/>
      <c r="H117" s="1294"/>
      <c r="I117" s="1294"/>
      <c r="J117" s="1294"/>
      <c r="K117" s="1294"/>
      <c r="L117" s="1294"/>
      <c r="M117" s="1294"/>
      <c r="N117" s="1294"/>
      <c r="O117" s="1294"/>
      <c r="P117" s="1294"/>
      <c r="Q117" s="1294"/>
      <c r="R117" s="1294"/>
      <c r="S117" s="1294"/>
      <c r="T117" s="1388"/>
      <c r="U117" s="1472"/>
      <c r="V117" s="1294"/>
      <c r="W117" s="1294"/>
      <c r="X117" s="1388"/>
      <c r="Y117" s="1203"/>
      <c r="Z117" s="1203"/>
      <c r="AA117" s="1203"/>
      <c r="AB117" s="1203"/>
      <c r="AC117" s="1203"/>
      <c r="AD117" s="1203"/>
      <c r="AE117" s="1203"/>
      <c r="AF117" s="1203"/>
      <c r="AG117" s="1203"/>
      <c r="AH117" s="1203"/>
      <c r="AI117" s="1203"/>
      <c r="AJ117" s="1203"/>
      <c r="AK117" s="1203"/>
      <c r="AL117" s="1203"/>
      <c r="AM117" s="1203"/>
      <c r="AN117" s="1203"/>
      <c r="AO117" s="1203"/>
      <c r="AP117" s="1203"/>
      <c r="AQ117" s="1203"/>
      <c r="AR117" s="1203"/>
      <c r="AS117" s="1203"/>
      <c r="AT117" s="1203"/>
      <c r="AU117" s="1203"/>
      <c r="AV117" s="1203"/>
      <c r="AW117" s="1203"/>
      <c r="AX117" s="1203"/>
      <c r="AY117" s="1203"/>
      <c r="AZ117" s="1203"/>
      <c r="BA117" s="1203"/>
      <c r="BB117" s="1203"/>
      <c r="BC117" s="1203"/>
      <c r="BD117" s="1203"/>
      <c r="BE117" s="1210"/>
    </row>
    <row r="118" spans="1:57" ht="15.75" customHeight="1" thickBot="1">
      <c r="A118" s="1203"/>
      <c r="B118" s="1203"/>
      <c r="C118" s="1203"/>
      <c r="D118" s="1203"/>
      <c r="E118" s="1203"/>
      <c r="F118" s="1203"/>
      <c r="G118" s="1203"/>
      <c r="H118" s="1203"/>
      <c r="I118" s="1203"/>
      <c r="J118" s="1203"/>
      <c r="K118" s="1203"/>
      <c r="L118" s="1203"/>
      <c r="M118" s="1203"/>
      <c r="N118" s="1203"/>
      <c r="O118" s="1203"/>
      <c r="P118" s="1203"/>
      <c r="Q118" s="1203"/>
      <c r="R118" s="1203"/>
      <c r="S118" s="1203"/>
      <c r="T118" s="1203"/>
      <c r="U118" s="1203"/>
      <c r="V118" s="1203"/>
      <c r="W118" s="1203"/>
      <c r="X118" s="1203"/>
      <c r="Y118" s="1203"/>
      <c r="Z118" s="1203"/>
      <c r="AA118" s="1203"/>
      <c r="AB118" s="1203"/>
      <c r="AC118" s="1203"/>
      <c r="AD118" s="1203"/>
      <c r="AE118" s="1203"/>
      <c r="AF118" s="1203"/>
      <c r="AG118" s="1203"/>
      <c r="AH118" s="1203"/>
      <c r="AI118" s="1203"/>
      <c r="AJ118" s="1203"/>
      <c r="AK118" s="1203"/>
      <c r="AL118" s="1203"/>
      <c r="AM118" s="1203"/>
      <c r="AN118" s="1203"/>
      <c r="AO118" s="1203"/>
      <c r="AP118" s="1203"/>
      <c r="AQ118" s="1203"/>
      <c r="AR118" s="1203"/>
      <c r="AS118" s="1203"/>
      <c r="AT118" s="1203"/>
      <c r="AU118" s="1203"/>
      <c r="AV118" s="1203"/>
      <c r="AW118" s="1203"/>
      <c r="AX118" s="1203"/>
      <c r="AY118" s="1203"/>
      <c r="AZ118" s="1203"/>
      <c r="BA118" s="1203"/>
      <c r="BB118" s="1203"/>
      <c r="BC118" s="1203"/>
      <c r="BD118" s="1203"/>
      <c r="BE118" s="1210"/>
    </row>
    <row r="119" spans="1:57" ht="15.75" customHeight="1" thickBot="1">
      <c r="A119" s="1203"/>
      <c r="B119" s="1226" t="s">
        <v>2058</v>
      </c>
      <c r="C119" s="1221"/>
      <c r="D119" s="1221"/>
      <c r="E119" s="1221"/>
      <c r="F119" s="1221"/>
      <c r="G119" s="1221"/>
      <c r="H119" s="1221"/>
      <c r="I119" s="1221"/>
      <c r="J119" s="1221"/>
      <c r="K119" s="1221"/>
      <c r="L119" s="1221"/>
      <c r="M119" s="1221"/>
      <c r="N119" s="1221"/>
      <c r="O119" s="1221"/>
      <c r="P119" s="1221"/>
      <c r="Q119" s="1221"/>
      <c r="R119" s="1222"/>
      <c r="S119" s="1203"/>
      <c r="T119" s="1203"/>
      <c r="U119" s="1203"/>
      <c r="V119" s="1203"/>
      <c r="W119" s="1203"/>
      <c r="X119" s="1203"/>
      <c r="Y119" s="1203"/>
      <c r="Z119" s="1203"/>
      <c r="AA119" s="1203"/>
      <c r="AB119" s="1203"/>
      <c r="AC119" s="1203"/>
      <c r="AD119" s="1203"/>
      <c r="AE119" s="1203"/>
      <c r="AF119" s="1203"/>
      <c r="AG119" s="1203"/>
      <c r="AH119" s="1203"/>
      <c r="AI119" s="1203"/>
      <c r="AJ119" s="1203"/>
      <c r="AK119" s="1203"/>
      <c r="AL119" s="1203"/>
      <c r="AM119" s="1203"/>
      <c r="AN119" s="1203"/>
      <c r="AO119" s="1203"/>
      <c r="AP119" s="1203"/>
      <c r="AQ119" s="1203"/>
      <c r="AR119" s="1203"/>
      <c r="AS119" s="1203"/>
      <c r="AT119" s="1203"/>
      <c r="AU119" s="1203"/>
      <c r="AV119" s="1203"/>
      <c r="AW119" s="1203"/>
      <c r="AX119" s="1203"/>
      <c r="AY119" s="1203"/>
      <c r="AZ119" s="1203"/>
      <c r="BA119" s="1203"/>
      <c r="BB119" s="1203"/>
      <c r="BC119" s="1203"/>
      <c r="BD119" s="1203"/>
      <c r="BE119" s="1210"/>
    </row>
    <row r="120" spans="1:57" ht="15.75" customHeight="1" thickBot="1">
      <c r="A120" s="1203"/>
      <c r="B120" s="1203"/>
      <c r="C120" s="1203"/>
      <c r="D120" s="1203"/>
      <c r="E120" s="1203"/>
      <c r="F120" s="1203"/>
      <c r="G120" s="1203"/>
      <c r="H120" s="1203"/>
      <c r="I120" s="1203"/>
      <c r="J120" s="1203"/>
      <c r="K120" s="1203"/>
      <c r="L120" s="1203"/>
      <c r="M120" s="1203"/>
      <c r="N120" s="1203"/>
      <c r="O120" s="1203"/>
      <c r="P120" s="1238"/>
      <c r="Q120" s="1203"/>
      <c r="R120" s="1203"/>
      <c r="S120" s="1203"/>
      <c r="T120" s="1203"/>
      <c r="U120" s="1203"/>
      <c r="V120" s="1203"/>
      <c r="W120" s="1203"/>
      <c r="X120" s="1757" t="s">
        <v>2059</v>
      </c>
      <c r="Y120" s="1743"/>
      <c r="Z120" s="1743"/>
      <c r="AA120" s="1743"/>
      <c r="AB120" s="1743"/>
      <c r="AC120" s="1743"/>
      <c r="AD120" s="1743"/>
      <c r="AE120" s="1743"/>
      <c r="AF120" s="1743"/>
      <c r="AG120" s="1743"/>
      <c r="AH120" s="1743"/>
      <c r="AI120" s="1743"/>
      <c r="AJ120" s="1743"/>
      <c r="AK120" s="1743"/>
      <c r="AL120" s="1743"/>
      <c r="AM120" s="1743"/>
      <c r="AN120" s="1743"/>
      <c r="AO120" s="1743"/>
      <c r="AP120" s="1743"/>
      <c r="AQ120" s="1743"/>
      <c r="AR120" s="1743"/>
      <c r="AS120" s="1743"/>
      <c r="AT120" s="1743"/>
      <c r="AU120" s="1743"/>
      <c r="AV120" s="1743"/>
      <c r="AW120" s="1743"/>
      <c r="AX120" s="1743"/>
      <c r="AY120" s="1743"/>
      <c r="AZ120" s="1743"/>
      <c r="BA120" s="1743"/>
      <c r="BB120" s="1743"/>
      <c r="BC120" s="1743"/>
      <c r="BD120" s="1758"/>
      <c r="BE120" s="1210"/>
    </row>
    <row r="121" spans="1:57" ht="15.75" customHeight="1">
      <c r="A121" s="1203"/>
      <c r="B121" s="1869" t="s">
        <v>2060</v>
      </c>
      <c r="C121" s="1743"/>
      <c r="D121" s="1743"/>
      <c r="E121" s="1743"/>
      <c r="F121" s="1743"/>
      <c r="G121" s="1743"/>
      <c r="H121" s="1743"/>
      <c r="I121" s="1743"/>
      <c r="J121" s="1743"/>
      <c r="K121" s="1743"/>
      <c r="L121" s="1743"/>
      <c r="M121" s="1743"/>
      <c r="N121" s="1743"/>
      <c r="O121" s="1743"/>
      <c r="P121" s="1743"/>
      <c r="Q121" s="1743"/>
      <c r="R121" s="1743"/>
      <c r="S121" s="1743"/>
      <c r="T121" s="1743"/>
      <c r="U121" s="1744"/>
      <c r="V121" s="1203"/>
      <c r="W121" s="1203"/>
      <c r="X121" s="1754"/>
      <c r="Y121" s="1405"/>
      <c r="Z121" s="1405"/>
      <c r="AA121" s="1405"/>
      <c r="AB121" s="1405"/>
      <c r="AC121" s="1405"/>
      <c r="AD121" s="1405"/>
      <c r="AE121" s="1405"/>
      <c r="AF121" s="1405"/>
      <c r="AG121" s="1405"/>
      <c r="AH121" s="1405"/>
      <c r="AI121" s="1405"/>
      <c r="AJ121" s="1405"/>
      <c r="AK121" s="1405"/>
      <c r="AL121" s="1405"/>
      <c r="AM121" s="1405"/>
      <c r="AN121" s="1405"/>
      <c r="AO121" s="1405"/>
      <c r="AP121" s="1405"/>
      <c r="AQ121" s="1405"/>
      <c r="AR121" s="1405"/>
      <c r="AS121" s="1405"/>
      <c r="AT121" s="1405"/>
      <c r="AU121" s="1405"/>
      <c r="AV121" s="1405"/>
      <c r="AW121" s="1405"/>
      <c r="AX121" s="1405"/>
      <c r="AY121" s="1405"/>
      <c r="AZ121" s="1405"/>
      <c r="BA121" s="1405"/>
      <c r="BB121" s="1405"/>
      <c r="BC121" s="1405"/>
      <c r="BD121" s="1296"/>
      <c r="BE121" s="1210"/>
    </row>
    <row r="122" spans="1:57" ht="15.75" customHeight="1">
      <c r="A122" s="1203"/>
      <c r="B122" s="1768"/>
      <c r="C122" s="1263"/>
      <c r="D122" s="1263"/>
      <c r="E122" s="1263"/>
      <c r="F122" s="1263"/>
      <c r="G122" s="1263"/>
      <c r="H122" s="1264"/>
      <c r="I122" s="1749" t="s">
        <v>2061</v>
      </c>
      <c r="J122" s="1263"/>
      <c r="K122" s="1263"/>
      <c r="L122" s="1263"/>
      <c r="M122" s="1263"/>
      <c r="N122" s="1264"/>
      <c r="O122" s="1850" t="s">
        <v>2062</v>
      </c>
      <c r="P122" s="1263"/>
      <c r="Q122" s="1263"/>
      <c r="R122" s="1263"/>
      <c r="S122" s="1263"/>
      <c r="T122" s="1263"/>
      <c r="U122" s="1264"/>
      <c r="V122" s="1203"/>
      <c r="W122" s="1203"/>
      <c r="X122" s="1711" t="s">
        <v>2035</v>
      </c>
      <c r="Y122" s="1470"/>
      <c r="Z122" s="1470"/>
      <c r="AA122" s="1470"/>
      <c r="AB122" s="1470"/>
      <c r="AC122" s="1470"/>
      <c r="AD122" s="1470"/>
      <c r="AE122" s="1470"/>
      <c r="AF122" s="1470"/>
      <c r="AG122" s="1470"/>
      <c r="AH122" s="1470"/>
      <c r="AI122" s="1470"/>
      <c r="AJ122" s="1470"/>
      <c r="AK122" s="1470"/>
      <c r="AL122" s="1470"/>
      <c r="AM122" s="1470"/>
      <c r="AN122" s="1470"/>
      <c r="AO122" s="1470"/>
      <c r="AP122" s="1470"/>
      <c r="AQ122" s="1470"/>
      <c r="AR122" s="1470"/>
      <c r="AS122" s="1470"/>
      <c r="AT122" s="1470"/>
      <c r="AU122" s="1470"/>
      <c r="AV122" s="1470"/>
      <c r="AW122" s="1470"/>
      <c r="AX122" s="1470"/>
      <c r="AY122" s="1470"/>
      <c r="AZ122" s="1470"/>
      <c r="BA122" s="1470"/>
      <c r="BB122" s="1470"/>
      <c r="BC122" s="1470"/>
      <c r="BD122" s="1471"/>
      <c r="BE122" s="1210"/>
    </row>
    <row r="123" spans="1:57" ht="15.75" customHeight="1">
      <c r="A123" s="1203"/>
      <c r="B123" s="1730" t="s">
        <v>2063</v>
      </c>
      <c r="C123" s="1263"/>
      <c r="D123" s="1263"/>
      <c r="E123" s="1263"/>
      <c r="F123" s="1263"/>
      <c r="G123" s="1263"/>
      <c r="H123" s="1264"/>
      <c r="I123" s="1753">
        <v>0</v>
      </c>
      <c r="J123" s="1374"/>
      <c r="K123" s="1374"/>
      <c r="L123" s="1374"/>
      <c r="M123" s="1374"/>
      <c r="N123" s="1375"/>
      <c r="O123" s="1753">
        <v>0</v>
      </c>
      <c r="P123" s="1374"/>
      <c r="Q123" s="1374"/>
      <c r="R123" s="1374"/>
      <c r="S123" s="1374"/>
      <c r="T123" s="1374"/>
      <c r="U123" s="1375"/>
      <c r="V123" s="1203"/>
      <c r="W123" s="1203"/>
      <c r="X123" s="1712"/>
      <c r="Y123" s="1293"/>
      <c r="Z123" s="1293"/>
      <c r="AA123" s="1293"/>
      <c r="AB123" s="1293"/>
      <c r="AC123" s="1293"/>
      <c r="AD123" s="1293"/>
      <c r="AE123" s="1293"/>
      <c r="AF123" s="1293"/>
      <c r="AG123" s="1293"/>
      <c r="AH123" s="1293"/>
      <c r="AI123" s="1293"/>
      <c r="AJ123" s="1293"/>
      <c r="AK123" s="1293"/>
      <c r="AL123" s="1293"/>
      <c r="AM123" s="1293"/>
      <c r="AN123" s="1293"/>
      <c r="AO123" s="1293"/>
      <c r="AP123" s="1293"/>
      <c r="AQ123" s="1293"/>
      <c r="AR123" s="1293"/>
      <c r="AS123" s="1293"/>
      <c r="AT123" s="1293"/>
      <c r="AU123" s="1293"/>
      <c r="AV123" s="1293"/>
      <c r="AW123" s="1293"/>
      <c r="AX123" s="1293"/>
      <c r="AY123" s="1293"/>
      <c r="AZ123" s="1293"/>
      <c r="BA123" s="1293"/>
      <c r="BB123" s="1293"/>
      <c r="BC123" s="1293"/>
      <c r="BD123" s="1713"/>
      <c r="BE123" s="1210"/>
    </row>
    <row r="124" spans="1:57" ht="15.75" customHeight="1" thickBot="1">
      <c r="A124" s="1203"/>
      <c r="B124" s="1766" t="s">
        <v>2064</v>
      </c>
      <c r="C124" s="1685"/>
      <c r="D124" s="1685"/>
      <c r="E124" s="1685"/>
      <c r="F124" s="1685"/>
      <c r="G124" s="1685"/>
      <c r="H124" s="1279"/>
      <c r="I124" s="1717">
        <v>0</v>
      </c>
      <c r="J124" s="1709"/>
      <c r="K124" s="1709"/>
      <c r="L124" s="1709"/>
      <c r="M124" s="1709"/>
      <c r="N124" s="1718"/>
      <c r="O124" s="1916"/>
      <c r="P124" s="1709"/>
      <c r="Q124" s="1709"/>
      <c r="R124" s="1709"/>
      <c r="S124" s="1709"/>
      <c r="T124" s="1709"/>
      <c r="U124" s="1718"/>
      <c r="V124" s="1203"/>
      <c r="W124" s="1203"/>
      <c r="X124" s="1712"/>
      <c r="Y124" s="1293"/>
      <c r="Z124" s="1293"/>
      <c r="AA124" s="1293"/>
      <c r="AB124" s="1293"/>
      <c r="AC124" s="1293"/>
      <c r="AD124" s="1293"/>
      <c r="AE124" s="1293"/>
      <c r="AF124" s="1293"/>
      <c r="AG124" s="1293"/>
      <c r="AH124" s="1293"/>
      <c r="AI124" s="1293"/>
      <c r="AJ124" s="1293"/>
      <c r="AK124" s="1293"/>
      <c r="AL124" s="1293"/>
      <c r="AM124" s="1293"/>
      <c r="AN124" s="1293"/>
      <c r="AO124" s="1293"/>
      <c r="AP124" s="1293"/>
      <c r="AQ124" s="1293"/>
      <c r="AR124" s="1293"/>
      <c r="AS124" s="1293"/>
      <c r="AT124" s="1293"/>
      <c r="AU124" s="1293"/>
      <c r="AV124" s="1293"/>
      <c r="AW124" s="1293"/>
      <c r="AX124" s="1293"/>
      <c r="AY124" s="1293"/>
      <c r="AZ124" s="1293"/>
      <c r="BA124" s="1293"/>
      <c r="BB124" s="1293"/>
      <c r="BC124" s="1293"/>
      <c r="BD124" s="1713"/>
      <c r="BE124" s="1210"/>
    </row>
    <row r="125" spans="1:57" ht="15.75" customHeight="1" thickBot="1">
      <c r="A125" s="1203"/>
      <c r="B125" s="1203"/>
      <c r="C125" s="1203"/>
      <c r="D125" s="1203"/>
      <c r="E125" s="1203"/>
      <c r="F125" s="1203"/>
      <c r="G125" s="1203"/>
      <c r="H125" s="1203"/>
      <c r="I125" s="1203"/>
      <c r="J125" s="1203"/>
      <c r="K125" s="1203"/>
      <c r="L125" s="1203"/>
      <c r="M125" s="1203"/>
      <c r="N125" s="1203"/>
      <c r="O125" s="1203"/>
      <c r="P125" s="1203"/>
      <c r="Q125" s="1203"/>
      <c r="R125" s="1203"/>
      <c r="S125" s="1203"/>
      <c r="T125" s="1203"/>
      <c r="U125" s="1203"/>
      <c r="V125" s="1203"/>
      <c r="W125" s="1203"/>
      <c r="X125" s="1712"/>
      <c r="Y125" s="1293"/>
      <c r="Z125" s="1293"/>
      <c r="AA125" s="1293"/>
      <c r="AB125" s="1293"/>
      <c r="AC125" s="1293"/>
      <c r="AD125" s="1293"/>
      <c r="AE125" s="1293"/>
      <c r="AF125" s="1293"/>
      <c r="AG125" s="1293"/>
      <c r="AH125" s="1293"/>
      <c r="AI125" s="1293"/>
      <c r="AJ125" s="1293"/>
      <c r="AK125" s="1293"/>
      <c r="AL125" s="1293"/>
      <c r="AM125" s="1293"/>
      <c r="AN125" s="1293"/>
      <c r="AO125" s="1293"/>
      <c r="AP125" s="1293"/>
      <c r="AQ125" s="1293"/>
      <c r="AR125" s="1293"/>
      <c r="AS125" s="1293"/>
      <c r="AT125" s="1293"/>
      <c r="AU125" s="1293"/>
      <c r="AV125" s="1293"/>
      <c r="AW125" s="1293"/>
      <c r="AX125" s="1293"/>
      <c r="AY125" s="1293"/>
      <c r="AZ125" s="1293"/>
      <c r="BA125" s="1293"/>
      <c r="BB125" s="1293"/>
      <c r="BC125" s="1293"/>
      <c r="BD125" s="1713"/>
      <c r="BE125" s="1210"/>
    </row>
    <row r="126" spans="1:57" ht="15.75" customHeight="1" thickBot="1">
      <c r="A126" s="1203"/>
      <c r="B126" s="1226" t="s">
        <v>2065</v>
      </c>
      <c r="C126" s="1227"/>
      <c r="D126" s="1227"/>
      <c r="E126" s="1227"/>
      <c r="F126" s="1227"/>
      <c r="G126" s="1227"/>
      <c r="H126" s="1227"/>
      <c r="I126" s="1227"/>
      <c r="J126" s="1227"/>
      <c r="K126" s="1227"/>
      <c r="L126" s="1227"/>
      <c r="M126" s="1227"/>
      <c r="N126" s="1227"/>
      <c r="O126" s="1227"/>
      <c r="P126" s="1228"/>
      <c r="Q126" s="1211" t="s">
        <v>366</v>
      </c>
      <c r="R126" s="1211" t="s">
        <v>366</v>
      </c>
      <c r="S126" s="1203"/>
      <c r="T126" s="1203"/>
      <c r="U126" s="1203"/>
      <c r="V126" s="1203" t="s">
        <v>366</v>
      </c>
      <c r="W126" s="1203"/>
      <c r="X126" s="1712"/>
      <c r="Y126" s="1293"/>
      <c r="Z126" s="1293"/>
      <c r="AA126" s="1293"/>
      <c r="AB126" s="1293"/>
      <c r="AC126" s="1293"/>
      <c r="AD126" s="1293"/>
      <c r="AE126" s="1293"/>
      <c r="AF126" s="1293"/>
      <c r="AG126" s="1293"/>
      <c r="AH126" s="1293"/>
      <c r="AI126" s="1293"/>
      <c r="AJ126" s="1293"/>
      <c r="AK126" s="1293"/>
      <c r="AL126" s="1293"/>
      <c r="AM126" s="1293"/>
      <c r="AN126" s="1293"/>
      <c r="AO126" s="1293"/>
      <c r="AP126" s="1293"/>
      <c r="AQ126" s="1293"/>
      <c r="AR126" s="1293"/>
      <c r="AS126" s="1293"/>
      <c r="AT126" s="1293"/>
      <c r="AU126" s="1293"/>
      <c r="AV126" s="1293"/>
      <c r="AW126" s="1293"/>
      <c r="AX126" s="1293"/>
      <c r="AY126" s="1293"/>
      <c r="AZ126" s="1293"/>
      <c r="BA126" s="1293"/>
      <c r="BB126" s="1293"/>
      <c r="BC126" s="1293"/>
      <c r="BD126" s="1713"/>
      <c r="BE126" s="1210"/>
    </row>
    <row r="127" spans="1:57" ht="15.75" customHeight="1" thickBot="1">
      <c r="A127" s="1203"/>
      <c r="B127" s="1203"/>
      <c r="C127" s="1203"/>
      <c r="D127" s="1203"/>
      <c r="E127" s="1203"/>
      <c r="F127" s="1203"/>
      <c r="G127" s="1203"/>
      <c r="H127" s="1203"/>
      <c r="I127" s="1203"/>
      <c r="J127" s="1203"/>
      <c r="K127" s="1203"/>
      <c r="L127" s="1203"/>
      <c r="M127" s="1203"/>
      <c r="N127" s="1203"/>
      <c r="O127" s="1203"/>
      <c r="P127" s="1203"/>
      <c r="Q127" s="1203"/>
      <c r="R127" s="1203"/>
      <c r="S127" s="1203"/>
      <c r="T127" s="1203"/>
      <c r="U127" s="1203"/>
      <c r="V127" s="1203"/>
      <c r="W127" s="1203"/>
      <c r="X127" s="1712"/>
      <c r="Y127" s="1293"/>
      <c r="Z127" s="1293"/>
      <c r="AA127" s="1293"/>
      <c r="AB127" s="1293"/>
      <c r="AC127" s="1293"/>
      <c r="AD127" s="1293"/>
      <c r="AE127" s="1293"/>
      <c r="AF127" s="1293"/>
      <c r="AG127" s="1293"/>
      <c r="AH127" s="1293"/>
      <c r="AI127" s="1293"/>
      <c r="AJ127" s="1293"/>
      <c r="AK127" s="1293"/>
      <c r="AL127" s="1293"/>
      <c r="AM127" s="1293"/>
      <c r="AN127" s="1293"/>
      <c r="AO127" s="1293"/>
      <c r="AP127" s="1293"/>
      <c r="AQ127" s="1293"/>
      <c r="AR127" s="1293"/>
      <c r="AS127" s="1293"/>
      <c r="AT127" s="1293"/>
      <c r="AU127" s="1293"/>
      <c r="AV127" s="1293"/>
      <c r="AW127" s="1293"/>
      <c r="AX127" s="1293"/>
      <c r="AY127" s="1293"/>
      <c r="AZ127" s="1293"/>
      <c r="BA127" s="1293"/>
      <c r="BB127" s="1293"/>
      <c r="BC127" s="1293"/>
      <c r="BD127" s="1713"/>
      <c r="BE127" s="1210"/>
    </row>
    <row r="128" spans="1:57" ht="15.75" customHeight="1">
      <c r="A128" s="1203"/>
      <c r="B128" s="1752" t="s">
        <v>2066</v>
      </c>
      <c r="C128" s="1288"/>
      <c r="D128" s="1288"/>
      <c r="E128" s="1288"/>
      <c r="F128" s="1288"/>
      <c r="G128" s="1288"/>
      <c r="H128" s="1288"/>
      <c r="I128" s="1288"/>
      <c r="J128" s="1288"/>
      <c r="K128" s="1288"/>
      <c r="L128" s="1288"/>
      <c r="M128" s="1288"/>
      <c r="N128" s="1288"/>
      <c r="O128" s="1288"/>
      <c r="P128" s="1288"/>
      <c r="Q128" s="1288"/>
      <c r="R128" s="1288"/>
      <c r="S128" s="1288"/>
      <c r="T128" s="1288"/>
      <c r="U128" s="1285"/>
      <c r="V128" s="1203"/>
      <c r="W128" s="1203"/>
      <c r="X128" s="1712"/>
      <c r="Y128" s="1293"/>
      <c r="Z128" s="1293"/>
      <c r="AA128" s="1293"/>
      <c r="AB128" s="1293"/>
      <c r="AC128" s="1293"/>
      <c r="AD128" s="1293"/>
      <c r="AE128" s="1293"/>
      <c r="AF128" s="1293"/>
      <c r="AG128" s="1293"/>
      <c r="AH128" s="1293"/>
      <c r="AI128" s="1293"/>
      <c r="AJ128" s="1293"/>
      <c r="AK128" s="1293"/>
      <c r="AL128" s="1293"/>
      <c r="AM128" s="1293"/>
      <c r="AN128" s="1293"/>
      <c r="AO128" s="1293"/>
      <c r="AP128" s="1293"/>
      <c r="AQ128" s="1293"/>
      <c r="AR128" s="1293"/>
      <c r="AS128" s="1293"/>
      <c r="AT128" s="1293"/>
      <c r="AU128" s="1293"/>
      <c r="AV128" s="1293"/>
      <c r="AW128" s="1293"/>
      <c r="AX128" s="1293"/>
      <c r="AY128" s="1293"/>
      <c r="AZ128" s="1293"/>
      <c r="BA128" s="1293"/>
      <c r="BB128" s="1293"/>
      <c r="BC128" s="1293"/>
      <c r="BD128" s="1713"/>
      <c r="BE128" s="1210"/>
    </row>
    <row r="129" spans="1:57" ht="15.75" customHeight="1">
      <c r="A129" s="1203"/>
      <c r="B129" s="1768"/>
      <c r="C129" s="1417"/>
      <c r="D129" s="1417"/>
      <c r="E129" s="1417"/>
      <c r="F129" s="1417"/>
      <c r="G129" s="1417"/>
      <c r="H129" s="1423"/>
      <c r="I129" s="1716" t="s">
        <v>2042</v>
      </c>
      <c r="J129" s="1417"/>
      <c r="K129" s="1417"/>
      <c r="L129" s="1417"/>
      <c r="M129" s="1417"/>
      <c r="N129" s="1417"/>
      <c r="O129" s="1423"/>
      <c r="P129" s="1716" t="s">
        <v>2043</v>
      </c>
      <c r="Q129" s="1417"/>
      <c r="R129" s="1417"/>
      <c r="S129" s="1417"/>
      <c r="T129" s="1417"/>
      <c r="U129" s="1423"/>
      <c r="V129" s="1203"/>
      <c r="W129" s="1203"/>
      <c r="X129" s="1712"/>
      <c r="Y129" s="1293"/>
      <c r="Z129" s="1293"/>
      <c r="AA129" s="1293"/>
      <c r="AB129" s="1293"/>
      <c r="AC129" s="1293"/>
      <c r="AD129" s="1293"/>
      <c r="AE129" s="1293"/>
      <c r="AF129" s="1293"/>
      <c r="AG129" s="1293"/>
      <c r="AH129" s="1293"/>
      <c r="AI129" s="1293"/>
      <c r="AJ129" s="1293"/>
      <c r="AK129" s="1293"/>
      <c r="AL129" s="1293"/>
      <c r="AM129" s="1293"/>
      <c r="AN129" s="1293"/>
      <c r="AO129" s="1293"/>
      <c r="AP129" s="1293"/>
      <c r="AQ129" s="1293"/>
      <c r="AR129" s="1293"/>
      <c r="AS129" s="1293"/>
      <c r="AT129" s="1293"/>
      <c r="AU129" s="1293"/>
      <c r="AV129" s="1293"/>
      <c r="AW129" s="1293"/>
      <c r="AX129" s="1293"/>
      <c r="AY129" s="1293"/>
      <c r="AZ129" s="1293"/>
      <c r="BA129" s="1293"/>
      <c r="BB129" s="1293"/>
      <c r="BC129" s="1293"/>
      <c r="BD129" s="1713"/>
      <c r="BE129" s="1210"/>
    </row>
    <row r="130" spans="1:57" ht="15.75" customHeight="1">
      <c r="A130" s="1203"/>
      <c r="B130" s="1754"/>
      <c r="C130" s="1405"/>
      <c r="D130" s="1405"/>
      <c r="E130" s="1405"/>
      <c r="F130" s="1405"/>
      <c r="G130" s="1405"/>
      <c r="H130" s="1296"/>
      <c r="I130" s="1404"/>
      <c r="J130" s="1405"/>
      <c r="K130" s="1405"/>
      <c r="L130" s="1405"/>
      <c r="M130" s="1405"/>
      <c r="N130" s="1405"/>
      <c r="O130" s="1296"/>
      <c r="P130" s="1404"/>
      <c r="Q130" s="1405"/>
      <c r="R130" s="1405"/>
      <c r="S130" s="1405"/>
      <c r="T130" s="1405"/>
      <c r="U130" s="1296"/>
      <c r="V130" s="1203"/>
      <c r="W130" s="1203"/>
      <c r="X130" s="1712"/>
      <c r="Y130" s="1293"/>
      <c r="Z130" s="1293"/>
      <c r="AA130" s="1293"/>
      <c r="AB130" s="1293"/>
      <c r="AC130" s="1293"/>
      <c r="AD130" s="1293"/>
      <c r="AE130" s="1293"/>
      <c r="AF130" s="1293"/>
      <c r="AG130" s="1293"/>
      <c r="AH130" s="1293"/>
      <c r="AI130" s="1293"/>
      <c r="AJ130" s="1293"/>
      <c r="AK130" s="1293"/>
      <c r="AL130" s="1293"/>
      <c r="AM130" s="1293"/>
      <c r="AN130" s="1293"/>
      <c r="AO130" s="1293"/>
      <c r="AP130" s="1293"/>
      <c r="AQ130" s="1293"/>
      <c r="AR130" s="1293"/>
      <c r="AS130" s="1293"/>
      <c r="AT130" s="1293"/>
      <c r="AU130" s="1293"/>
      <c r="AV130" s="1293"/>
      <c r="AW130" s="1293"/>
      <c r="AX130" s="1293"/>
      <c r="AY130" s="1293"/>
      <c r="AZ130" s="1293"/>
      <c r="BA130" s="1293"/>
      <c r="BB130" s="1293"/>
      <c r="BC130" s="1293"/>
      <c r="BD130" s="1713"/>
      <c r="BE130" s="1210"/>
    </row>
    <row r="131" spans="1:57" ht="15.75" customHeight="1">
      <c r="A131" s="1203"/>
      <c r="B131" s="1730" t="s">
        <v>2063</v>
      </c>
      <c r="C131" s="1263"/>
      <c r="D131" s="1263"/>
      <c r="E131" s="1263"/>
      <c r="F131" s="1263"/>
      <c r="G131" s="1263"/>
      <c r="H131" s="1264"/>
      <c r="I131" s="1753">
        <v>0</v>
      </c>
      <c r="J131" s="1374"/>
      <c r="K131" s="1374"/>
      <c r="L131" s="1374"/>
      <c r="M131" s="1374"/>
      <c r="N131" s="1374"/>
      <c r="O131" s="1375"/>
      <c r="P131" s="1753">
        <v>0</v>
      </c>
      <c r="Q131" s="1374"/>
      <c r="R131" s="1374"/>
      <c r="S131" s="1374"/>
      <c r="T131" s="1374"/>
      <c r="U131" s="1375"/>
      <c r="V131" s="1203"/>
      <c r="W131" s="1203"/>
      <c r="X131" s="1712"/>
      <c r="Y131" s="1293"/>
      <c r="Z131" s="1293"/>
      <c r="AA131" s="1293"/>
      <c r="AB131" s="1293"/>
      <c r="AC131" s="1293"/>
      <c r="AD131" s="1293"/>
      <c r="AE131" s="1293"/>
      <c r="AF131" s="1293"/>
      <c r="AG131" s="1293"/>
      <c r="AH131" s="1293"/>
      <c r="AI131" s="1293"/>
      <c r="AJ131" s="1293"/>
      <c r="AK131" s="1293"/>
      <c r="AL131" s="1293"/>
      <c r="AM131" s="1293"/>
      <c r="AN131" s="1293"/>
      <c r="AO131" s="1293"/>
      <c r="AP131" s="1293"/>
      <c r="AQ131" s="1293"/>
      <c r="AR131" s="1293"/>
      <c r="AS131" s="1293"/>
      <c r="AT131" s="1293"/>
      <c r="AU131" s="1293"/>
      <c r="AV131" s="1293"/>
      <c r="AW131" s="1293"/>
      <c r="AX131" s="1293"/>
      <c r="AY131" s="1293"/>
      <c r="AZ131" s="1293"/>
      <c r="BA131" s="1293"/>
      <c r="BB131" s="1293"/>
      <c r="BC131" s="1293"/>
      <c r="BD131" s="1713"/>
      <c r="BE131" s="1210"/>
    </row>
    <row r="132" spans="1:57" ht="15.75" customHeight="1" thickBot="1">
      <c r="A132" s="1203"/>
      <c r="B132" s="1766" t="s">
        <v>2064</v>
      </c>
      <c r="C132" s="1685"/>
      <c r="D132" s="1685"/>
      <c r="E132" s="1685"/>
      <c r="F132" s="1685"/>
      <c r="G132" s="1685"/>
      <c r="H132" s="1279"/>
      <c r="I132" s="1717">
        <v>0</v>
      </c>
      <c r="J132" s="1709"/>
      <c r="K132" s="1709"/>
      <c r="L132" s="1709"/>
      <c r="M132" s="1709"/>
      <c r="N132" s="1709"/>
      <c r="O132" s="1718"/>
      <c r="P132" s="1717">
        <v>0</v>
      </c>
      <c r="Q132" s="1709"/>
      <c r="R132" s="1709"/>
      <c r="S132" s="1709"/>
      <c r="T132" s="1709"/>
      <c r="U132" s="1718"/>
      <c r="V132" s="1203"/>
      <c r="W132" s="1203"/>
      <c r="X132" s="1714"/>
      <c r="Y132" s="1294"/>
      <c r="Z132" s="1294"/>
      <c r="AA132" s="1294"/>
      <c r="AB132" s="1294"/>
      <c r="AC132" s="1294"/>
      <c r="AD132" s="1294"/>
      <c r="AE132" s="1294"/>
      <c r="AF132" s="1294"/>
      <c r="AG132" s="1294"/>
      <c r="AH132" s="1294"/>
      <c r="AI132" s="1294"/>
      <c r="AJ132" s="1294"/>
      <c r="AK132" s="1294"/>
      <c r="AL132" s="1294"/>
      <c r="AM132" s="1294"/>
      <c r="AN132" s="1294"/>
      <c r="AO132" s="1294"/>
      <c r="AP132" s="1294"/>
      <c r="AQ132" s="1294"/>
      <c r="AR132" s="1294"/>
      <c r="AS132" s="1294"/>
      <c r="AT132" s="1294"/>
      <c r="AU132" s="1294"/>
      <c r="AV132" s="1294"/>
      <c r="AW132" s="1294"/>
      <c r="AX132" s="1294"/>
      <c r="AY132" s="1294"/>
      <c r="AZ132" s="1294"/>
      <c r="BA132" s="1294"/>
      <c r="BB132" s="1294"/>
      <c r="BC132" s="1294"/>
      <c r="BD132" s="1388"/>
      <c r="BE132" s="1210"/>
    </row>
    <row r="133" spans="1:57" ht="15.75" customHeight="1" thickBot="1">
      <c r="A133" s="1203"/>
      <c r="B133" s="1203"/>
      <c r="C133" s="1203"/>
      <c r="D133" s="1203"/>
      <c r="E133" s="1203"/>
      <c r="F133" s="1203"/>
      <c r="G133" s="1203"/>
      <c r="H133" s="1203"/>
      <c r="I133" s="1203"/>
      <c r="J133" s="1203"/>
      <c r="K133" s="1203"/>
      <c r="L133" s="1203"/>
      <c r="M133" s="1203"/>
      <c r="N133" s="1203"/>
      <c r="O133" s="1203"/>
      <c r="P133" s="1203"/>
      <c r="Q133" s="1240"/>
      <c r="R133" s="1203"/>
      <c r="S133" s="1203"/>
      <c r="T133" s="1203"/>
      <c r="U133" s="1203"/>
      <c r="V133" s="1203"/>
      <c r="W133" s="1203"/>
      <c r="X133" s="1203"/>
      <c r="Y133" s="1203"/>
      <c r="Z133" s="1203"/>
      <c r="AA133" s="1203"/>
      <c r="AB133" s="1203"/>
      <c r="AC133" s="1203"/>
      <c r="AD133" s="1203"/>
      <c r="AE133" s="1203"/>
      <c r="AF133" s="1203"/>
      <c r="AG133" s="1203"/>
      <c r="AH133" s="1203"/>
      <c r="AI133" s="1203"/>
      <c r="AJ133" s="1203"/>
      <c r="AK133" s="1203"/>
      <c r="AL133" s="1203"/>
      <c r="AM133" s="1203"/>
      <c r="AN133" s="1203"/>
      <c r="AO133" s="1203"/>
      <c r="AP133" s="1203"/>
      <c r="AQ133" s="1203"/>
      <c r="AR133" s="1203"/>
      <c r="AS133" s="1203"/>
      <c r="AT133" s="1203"/>
      <c r="AU133" s="1203"/>
      <c r="AV133" s="1203"/>
      <c r="AW133" s="1203"/>
      <c r="AX133" s="1203"/>
      <c r="AY133" s="1203"/>
      <c r="AZ133" s="1203"/>
      <c r="BA133" s="1203"/>
      <c r="BB133" s="1203"/>
      <c r="BC133" s="1203"/>
      <c r="BD133" s="1203"/>
      <c r="BE133" s="1210"/>
    </row>
    <row r="134" spans="1:57" ht="15.75" customHeight="1">
      <c r="A134" s="1203"/>
      <c r="B134" s="1721" t="s">
        <v>2067</v>
      </c>
      <c r="C134" s="1288"/>
      <c r="D134" s="1288"/>
      <c r="E134" s="1288"/>
      <c r="F134" s="1288"/>
      <c r="G134" s="1288"/>
      <c r="H134" s="1288"/>
      <c r="I134" s="1288"/>
      <c r="J134" s="1288"/>
      <c r="K134" s="1288"/>
      <c r="L134" s="1288"/>
      <c r="M134" s="1288"/>
      <c r="N134" s="1288"/>
      <c r="O134" s="1288"/>
      <c r="P134" s="1288"/>
      <c r="Q134" s="1288"/>
      <c r="R134" s="1288"/>
      <c r="S134" s="1288"/>
      <c r="T134" s="1288"/>
      <c r="U134" s="1288"/>
      <c r="V134" s="1288"/>
      <c r="W134" s="1288"/>
      <c r="X134" s="1288"/>
      <c r="Y134" s="1288"/>
      <c r="Z134" s="1288"/>
      <c r="AA134" s="1288"/>
      <c r="AB134" s="1288"/>
      <c r="AC134" s="1288"/>
      <c r="AD134" s="1288"/>
      <c r="AE134" s="1288"/>
      <c r="AF134" s="1288"/>
      <c r="AG134" s="1272"/>
      <c r="AH134" s="1834" t="s">
        <v>969</v>
      </c>
      <c r="AI134" s="1762"/>
      <c r="AJ134" s="1762"/>
      <c r="AK134" s="1762"/>
      <c r="AL134" s="1762"/>
      <c r="AM134" s="1762"/>
      <c r="AN134" s="1762"/>
      <c r="AO134" s="1762"/>
      <c r="AP134" s="1762"/>
      <c r="AQ134" s="1762"/>
      <c r="AR134" s="1762"/>
      <c r="AS134" s="1762"/>
      <c r="AT134" s="1762"/>
      <c r="AU134" s="1762"/>
      <c r="AV134" s="1762"/>
      <c r="AW134" s="1762"/>
      <c r="AX134" s="1763"/>
      <c r="AY134" s="1203"/>
      <c r="AZ134" s="1203"/>
      <c r="BA134" s="1203"/>
      <c r="BB134" s="1203"/>
      <c r="BC134" s="1203"/>
      <c r="BD134" s="1203"/>
      <c r="BE134" s="1210"/>
    </row>
    <row r="135" spans="1:57" ht="15.75" customHeight="1" thickBot="1">
      <c r="A135" s="1203"/>
      <c r="B135" s="1819" t="s">
        <v>2068</v>
      </c>
      <c r="C135" s="1263"/>
      <c r="D135" s="1263"/>
      <c r="E135" s="1263"/>
      <c r="F135" s="1263"/>
      <c r="G135" s="1263"/>
      <c r="H135" s="1263"/>
      <c r="I135" s="1263"/>
      <c r="J135" s="1263"/>
      <c r="K135" s="1263"/>
      <c r="L135" s="1263"/>
      <c r="M135" s="1263"/>
      <c r="N135" s="1263"/>
      <c r="O135" s="1263"/>
      <c r="P135" s="1263"/>
      <c r="Q135" s="1263"/>
      <c r="R135" s="1263"/>
      <c r="S135" s="1263"/>
      <c r="T135" s="1263"/>
      <c r="U135" s="1263"/>
      <c r="V135" s="1263"/>
      <c r="W135" s="1263"/>
      <c r="X135" s="1263"/>
      <c r="Y135" s="1263"/>
      <c r="Z135" s="1263"/>
      <c r="AA135" s="1263"/>
      <c r="AB135" s="1263"/>
      <c r="AC135" s="1263"/>
      <c r="AD135" s="1263"/>
      <c r="AE135" s="1263"/>
      <c r="AF135" s="1263"/>
      <c r="AG135" s="1264"/>
      <c r="AH135" s="1781"/>
      <c r="AI135" s="1374"/>
      <c r="AJ135" s="1374"/>
      <c r="AK135" s="1374"/>
      <c r="AL135" s="1374"/>
      <c r="AM135" s="1374"/>
      <c r="AN135" s="1374"/>
      <c r="AO135" s="1374"/>
      <c r="AP135" s="1374"/>
      <c r="AQ135" s="1374"/>
      <c r="AR135" s="1374"/>
      <c r="AS135" s="1374"/>
      <c r="AT135" s="1374"/>
      <c r="AU135" s="1374"/>
      <c r="AV135" s="1374"/>
      <c r="AW135" s="1374"/>
      <c r="AX135" s="1782"/>
      <c r="AY135" s="1203"/>
      <c r="AZ135" s="1203"/>
      <c r="BA135" s="1203"/>
      <c r="BB135" s="1203"/>
      <c r="BC135" s="1203"/>
      <c r="BD135" s="1203"/>
      <c r="BE135" s="1210"/>
    </row>
    <row r="136" spans="1:57" ht="15.75" customHeight="1">
      <c r="A136" s="1203"/>
      <c r="B136" s="1819" t="s">
        <v>2069</v>
      </c>
      <c r="C136" s="1263"/>
      <c r="D136" s="1263"/>
      <c r="E136" s="1263"/>
      <c r="F136" s="1263"/>
      <c r="G136" s="1263"/>
      <c r="H136" s="1263"/>
      <c r="I136" s="1263"/>
      <c r="J136" s="1263"/>
      <c r="K136" s="1263"/>
      <c r="L136" s="1263"/>
      <c r="M136" s="1263"/>
      <c r="N136" s="1263"/>
      <c r="O136" s="1263"/>
      <c r="P136" s="1263"/>
      <c r="Q136" s="1263"/>
      <c r="R136" s="1263"/>
      <c r="S136" s="1263"/>
      <c r="T136" s="1263"/>
      <c r="U136" s="1263"/>
      <c r="V136" s="1263"/>
      <c r="W136" s="1263"/>
      <c r="X136" s="1263"/>
      <c r="Y136" s="1263"/>
      <c r="Z136" s="1263"/>
      <c r="AA136" s="1263"/>
      <c r="AB136" s="1263"/>
      <c r="AC136" s="1263"/>
      <c r="AD136" s="1263"/>
      <c r="AE136" s="1263"/>
      <c r="AF136" s="1263"/>
      <c r="AG136" s="1264"/>
      <c r="AH136" s="1834" t="s">
        <v>969</v>
      </c>
      <c r="AI136" s="1762"/>
      <c r="AJ136" s="1762"/>
      <c r="AK136" s="1762"/>
      <c r="AL136" s="1762"/>
      <c r="AM136" s="1762"/>
      <c r="AN136" s="1762"/>
      <c r="AO136" s="1762"/>
      <c r="AP136" s="1762"/>
      <c r="AQ136" s="1762"/>
      <c r="AR136" s="1762"/>
      <c r="AS136" s="1762"/>
      <c r="AT136" s="1762"/>
      <c r="AU136" s="1762"/>
      <c r="AV136" s="1762"/>
      <c r="AW136" s="1762"/>
      <c r="AX136" s="1763"/>
      <c r="AY136" s="1203"/>
      <c r="AZ136" s="1203"/>
      <c r="BA136" s="1203"/>
      <c r="BB136" s="1203"/>
      <c r="BC136" s="1203"/>
      <c r="BD136" s="1203"/>
      <c r="BE136" s="1210"/>
    </row>
    <row r="137" spans="1:57" ht="15.75" customHeight="1">
      <c r="A137" s="1203"/>
      <c r="B137" s="1847" t="s">
        <v>2070</v>
      </c>
      <c r="C137" s="1263"/>
      <c r="D137" s="1263"/>
      <c r="E137" s="1263"/>
      <c r="F137" s="1263"/>
      <c r="G137" s="1263"/>
      <c r="H137" s="1263"/>
      <c r="I137" s="1263"/>
      <c r="J137" s="1263"/>
      <c r="K137" s="1263"/>
      <c r="L137" s="1263"/>
      <c r="M137" s="1263"/>
      <c r="N137" s="1263"/>
      <c r="O137" s="1263"/>
      <c r="P137" s="1263"/>
      <c r="Q137" s="1264"/>
      <c r="R137" s="1921" t="s">
        <v>2071</v>
      </c>
      <c r="S137" s="1374"/>
      <c r="T137" s="1374"/>
      <c r="U137" s="1374"/>
      <c r="V137" s="1374"/>
      <c r="W137" s="1374"/>
      <c r="X137" s="1374"/>
      <c r="Y137" s="1374"/>
      <c r="Z137" s="1374"/>
      <c r="AA137" s="1374"/>
      <c r="AB137" s="1374"/>
      <c r="AC137" s="1374"/>
      <c r="AD137" s="1374"/>
      <c r="AE137" s="1374"/>
      <c r="AF137" s="1374"/>
      <c r="AG137" s="1374"/>
      <c r="AH137" s="1374"/>
      <c r="AI137" s="1374"/>
      <c r="AJ137" s="1374"/>
      <c r="AK137" s="1374"/>
      <c r="AL137" s="1374"/>
      <c r="AM137" s="1374"/>
      <c r="AN137" s="1374"/>
      <c r="AO137" s="1374"/>
      <c r="AP137" s="1374"/>
      <c r="AQ137" s="1374"/>
      <c r="AR137" s="1374"/>
      <c r="AS137" s="1374"/>
      <c r="AT137" s="1374"/>
      <c r="AU137" s="1374"/>
      <c r="AV137" s="1374"/>
      <c r="AW137" s="1374"/>
      <c r="AX137" s="1375"/>
      <c r="AY137" s="1203"/>
      <c r="AZ137" s="1203"/>
      <c r="BA137" s="1203"/>
      <c r="BB137" s="1203"/>
      <c r="BC137" s="1203" t="s">
        <v>366</v>
      </c>
      <c r="BD137" s="1203"/>
      <c r="BE137" s="1210"/>
    </row>
    <row r="138" spans="1:57" ht="15.75" customHeight="1">
      <c r="A138" s="1203"/>
      <c r="B138" s="1866" t="s">
        <v>2072</v>
      </c>
      <c r="C138" s="1470"/>
      <c r="D138" s="1470"/>
      <c r="E138" s="1470"/>
      <c r="F138" s="1470"/>
      <c r="G138" s="1470"/>
      <c r="H138" s="1470"/>
      <c r="I138" s="1470"/>
      <c r="J138" s="1470"/>
      <c r="K138" s="1470"/>
      <c r="L138" s="1470"/>
      <c r="M138" s="1470"/>
      <c r="N138" s="1470"/>
      <c r="O138" s="1470"/>
      <c r="P138" s="1470"/>
      <c r="Q138" s="1470"/>
      <c r="R138" s="1470"/>
      <c r="S138" s="1470"/>
      <c r="T138" s="1470"/>
      <c r="U138" s="1470"/>
      <c r="V138" s="1470"/>
      <c r="W138" s="1470"/>
      <c r="X138" s="1470"/>
      <c r="Y138" s="1470"/>
      <c r="Z138" s="1470"/>
      <c r="AA138" s="1470"/>
      <c r="AB138" s="1470"/>
      <c r="AC138" s="1470"/>
      <c r="AD138" s="1470"/>
      <c r="AE138" s="1470"/>
      <c r="AF138" s="1470"/>
      <c r="AG138" s="1470"/>
      <c r="AH138" s="1470"/>
      <c r="AI138" s="1470"/>
      <c r="AJ138" s="1470"/>
      <c r="AK138" s="1470"/>
      <c r="AL138" s="1470"/>
      <c r="AM138" s="1470"/>
      <c r="AN138" s="1470"/>
      <c r="AO138" s="1470"/>
      <c r="AP138" s="1470"/>
      <c r="AQ138" s="1470"/>
      <c r="AR138" s="1470"/>
      <c r="AS138" s="1470"/>
      <c r="AT138" s="1470"/>
      <c r="AU138" s="1470"/>
      <c r="AV138" s="1470"/>
      <c r="AW138" s="1470"/>
      <c r="AX138" s="1471"/>
      <c r="AY138" s="1203"/>
      <c r="AZ138" s="1203"/>
      <c r="BA138" s="1203"/>
      <c r="BB138" s="1203"/>
      <c r="BC138" s="1203"/>
      <c r="BD138" s="1203"/>
      <c r="BE138" s="1210"/>
    </row>
    <row r="139" spans="1:57" ht="15.75" customHeight="1">
      <c r="A139" s="1203"/>
      <c r="B139" s="1712"/>
      <c r="C139" s="1293"/>
      <c r="D139" s="1293"/>
      <c r="E139" s="1293"/>
      <c r="F139" s="1293"/>
      <c r="G139" s="1293"/>
      <c r="H139" s="1293"/>
      <c r="I139" s="1293"/>
      <c r="J139" s="1293"/>
      <c r="K139" s="1293"/>
      <c r="L139" s="1293"/>
      <c r="M139" s="1293"/>
      <c r="N139" s="1293"/>
      <c r="O139" s="1293"/>
      <c r="P139" s="1293"/>
      <c r="Q139" s="1293"/>
      <c r="R139" s="1293"/>
      <c r="S139" s="1293"/>
      <c r="T139" s="1293"/>
      <c r="U139" s="1293"/>
      <c r="V139" s="1293"/>
      <c r="W139" s="1293"/>
      <c r="X139" s="1293"/>
      <c r="Y139" s="1293"/>
      <c r="Z139" s="1293"/>
      <c r="AA139" s="1293"/>
      <c r="AB139" s="1293"/>
      <c r="AC139" s="1293"/>
      <c r="AD139" s="1293"/>
      <c r="AE139" s="1293"/>
      <c r="AF139" s="1293"/>
      <c r="AG139" s="1293"/>
      <c r="AH139" s="1293"/>
      <c r="AI139" s="1293"/>
      <c r="AJ139" s="1293"/>
      <c r="AK139" s="1293"/>
      <c r="AL139" s="1293"/>
      <c r="AM139" s="1293"/>
      <c r="AN139" s="1293"/>
      <c r="AO139" s="1293"/>
      <c r="AP139" s="1293"/>
      <c r="AQ139" s="1293"/>
      <c r="AR139" s="1293"/>
      <c r="AS139" s="1293"/>
      <c r="AT139" s="1293"/>
      <c r="AU139" s="1293"/>
      <c r="AV139" s="1293"/>
      <c r="AW139" s="1293"/>
      <c r="AX139" s="1713"/>
      <c r="AY139" s="1203"/>
      <c r="AZ139" s="1203"/>
      <c r="BA139" s="1203"/>
      <c r="BB139" s="1203"/>
      <c r="BC139" s="1203"/>
      <c r="BD139" s="1203"/>
      <c r="BE139" s="1210"/>
    </row>
    <row r="140" spans="1:57" ht="15.75" customHeight="1">
      <c r="A140" s="1203"/>
      <c r="B140" s="1712"/>
      <c r="C140" s="1293"/>
      <c r="D140" s="1293"/>
      <c r="E140" s="1293"/>
      <c r="F140" s="1293"/>
      <c r="G140" s="1293"/>
      <c r="H140" s="1293"/>
      <c r="I140" s="1293"/>
      <c r="J140" s="1293"/>
      <c r="K140" s="1293"/>
      <c r="L140" s="1293"/>
      <c r="M140" s="1293"/>
      <c r="N140" s="1293"/>
      <c r="O140" s="1293"/>
      <c r="P140" s="1293"/>
      <c r="Q140" s="1293"/>
      <c r="R140" s="1293"/>
      <c r="S140" s="1293"/>
      <c r="T140" s="1293"/>
      <c r="U140" s="1293"/>
      <c r="V140" s="1293"/>
      <c r="W140" s="1293"/>
      <c r="X140" s="1293"/>
      <c r="Y140" s="1293"/>
      <c r="Z140" s="1293"/>
      <c r="AA140" s="1293"/>
      <c r="AB140" s="1293"/>
      <c r="AC140" s="1293"/>
      <c r="AD140" s="1293"/>
      <c r="AE140" s="1293"/>
      <c r="AF140" s="1293"/>
      <c r="AG140" s="1293"/>
      <c r="AH140" s="1293"/>
      <c r="AI140" s="1293"/>
      <c r="AJ140" s="1293"/>
      <c r="AK140" s="1293"/>
      <c r="AL140" s="1293"/>
      <c r="AM140" s="1293"/>
      <c r="AN140" s="1293"/>
      <c r="AO140" s="1293"/>
      <c r="AP140" s="1293"/>
      <c r="AQ140" s="1293"/>
      <c r="AR140" s="1293"/>
      <c r="AS140" s="1293"/>
      <c r="AT140" s="1293"/>
      <c r="AU140" s="1293"/>
      <c r="AV140" s="1293"/>
      <c r="AW140" s="1293"/>
      <c r="AX140" s="1713"/>
      <c r="AY140" s="1203"/>
      <c r="AZ140" s="1203"/>
      <c r="BA140" s="1203"/>
      <c r="BB140" s="1203"/>
      <c r="BC140" s="1203"/>
      <c r="BD140" s="1203"/>
      <c r="BE140" s="1210"/>
    </row>
    <row r="141" spans="1:57" ht="15.75" customHeight="1">
      <c r="A141" s="1203"/>
      <c r="B141" s="1712"/>
      <c r="C141" s="1293"/>
      <c r="D141" s="1293"/>
      <c r="E141" s="1293"/>
      <c r="F141" s="1293"/>
      <c r="G141" s="1293"/>
      <c r="H141" s="1293"/>
      <c r="I141" s="1293"/>
      <c r="J141" s="1293"/>
      <c r="K141" s="1293"/>
      <c r="L141" s="1293"/>
      <c r="M141" s="1293"/>
      <c r="N141" s="1293"/>
      <c r="O141" s="1293"/>
      <c r="P141" s="1293"/>
      <c r="Q141" s="1293"/>
      <c r="R141" s="1293"/>
      <c r="S141" s="1293"/>
      <c r="T141" s="1293"/>
      <c r="U141" s="1293"/>
      <c r="V141" s="1293"/>
      <c r="W141" s="1293"/>
      <c r="X141" s="1293"/>
      <c r="Y141" s="1293"/>
      <c r="Z141" s="1293"/>
      <c r="AA141" s="1293"/>
      <c r="AB141" s="1293"/>
      <c r="AC141" s="1293"/>
      <c r="AD141" s="1293"/>
      <c r="AE141" s="1293"/>
      <c r="AF141" s="1293"/>
      <c r="AG141" s="1293"/>
      <c r="AH141" s="1293"/>
      <c r="AI141" s="1293"/>
      <c r="AJ141" s="1293"/>
      <c r="AK141" s="1293"/>
      <c r="AL141" s="1293"/>
      <c r="AM141" s="1293"/>
      <c r="AN141" s="1293"/>
      <c r="AO141" s="1293"/>
      <c r="AP141" s="1293"/>
      <c r="AQ141" s="1293"/>
      <c r="AR141" s="1293"/>
      <c r="AS141" s="1293"/>
      <c r="AT141" s="1293"/>
      <c r="AU141" s="1293"/>
      <c r="AV141" s="1293"/>
      <c r="AW141" s="1293"/>
      <c r="AX141" s="1713"/>
      <c r="AY141" s="1203"/>
      <c r="AZ141" s="1203"/>
      <c r="BA141" s="1203"/>
      <c r="BB141" s="1203"/>
      <c r="BC141" s="1203"/>
      <c r="BD141" s="1203"/>
      <c r="BE141" s="1210"/>
    </row>
    <row r="142" spans="1:57" ht="15.75" customHeight="1">
      <c r="A142" s="1203"/>
      <c r="B142" s="1712"/>
      <c r="C142" s="1293"/>
      <c r="D142" s="1293"/>
      <c r="E142" s="1293"/>
      <c r="F142" s="1293"/>
      <c r="G142" s="1293"/>
      <c r="H142" s="1293"/>
      <c r="I142" s="1293"/>
      <c r="J142" s="1293"/>
      <c r="K142" s="1293"/>
      <c r="L142" s="1293"/>
      <c r="M142" s="1293"/>
      <c r="N142" s="1293"/>
      <c r="O142" s="1293"/>
      <c r="P142" s="1293"/>
      <c r="Q142" s="1293"/>
      <c r="R142" s="1293"/>
      <c r="S142" s="1293"/>
      <c r="T142" s="1293"/>
      <c r="U142" s="1293"/>
      <c r="V142" s="1293"/>
      <c r="W142" s="1293"/>
      <c r="X142" s="1293"/>
      <c r="Y142" s="1293"/>
      <c r="Z142" s="1293"/>
      <c r="AA142" s="1293"/>
      <c r="AB142" s="1293"/>
      <c r="AC142" s="1293"/>
      <c r="AD142" s="1293"/>
      <c r="AE142" s="1293"/>
      <c r="AF142" s="1293"/>
      <c r="AG142" s="1293"/>
      <c r="AH142" s="1293"/>
      <c r="AI142" s="1293"/>
      <c r="AJ142" s="1293"/>
      <c r="AK142" s="1293"/>
      <c r="AL142" s="1293"/>
      <c r="AM142" s="1293"/>
      <c r="AN142" s="1293"/>
      <c r="AO142" s="1293"/>
      <c r="AP142" s="1293"/>
      <c r="AQ142" s="1293"/>
      <c r="AR142" s="1293"/>
      <c r="AS142" s="1293"/>
      <c r="AT142" s="1293"/>
      <c r="AU142" s="1293"/>
      <c r="AV142" s="1293"/>
      <c r="AW142" s="1293"/>
      <c r="AX142" s="1713"/>
      <c r="AY142" s="1203"/>
      <c r="AZ142" s="1203"/>
      <c r="BA142" s="1203"/>
      <c r="BB142" s="1203"/>
      <c r="BC142" s="1203"/>
      <c r="BD142" s="1203"/>
      <c r="BE142" s="1210"/>
    </row>
    <row r="143" spans="1:57" ht="15.75" customHeight="1">
      <c r="A143" s="1203"/>
      <c r="B143" s="1712"/>
      <c r="C143" s="1293"/>
      <c r="D143" s="1293"/>
      <c r="E143" s="1293"/>
      <c r="F143" s="1293"/>
      <c r="G143" s="1293"/>
      <c r="H143" s="1293"/>
      <c r="I143" s="1293"/>
      <c r="J143" s="1293"/>
      <c r="K143" s="1293"/>
      <c r="L143" s="1293"/>
      <c r="M143" s="1293"/>
      <c r="N143" s="1293"/>
      <c r="O143" s="1293"/>
      <c r="P143" s="1293"/>
      <c r="Q143" s="1293"/>
      <c r="R143" s="1293"/>
      <c r="S143" s="1293"/>
      <c r="T143" s="1293"/>
      <c r="U143" s="1293"/>
      <c r="V143" s="1293"/>
      <c r="W143" s="1293"/>
      <c r="X143" s="1293"/>
      <c r="Y143" s="1293"/>
      <c r="Z143" s="1293"/>
      <c r="AA143" s="1293"/>
      <c r="AB143" s="1293"/>
      <c r="AC143" s="1293"/>
      <c r="AD143" s="1293"/>
      <c r="AE143" s="1293"/>
      <c r="AF143" s="1293"/>
      <c r="AG143" s="1293"/>
      <c r="AH143" s="1293"/>
      <c r="AI143" s="1293"/>
      <c r="AJ143" s="1293"/>
      <c r="AK143" s="1293"/>
      <c r="AL143" s="1293"/>
      <c r="AM143" s="1293"/>
      <c r="AN143" s="1293"/>
      <c r="AO143" s="1293"/>
      <c r="AP143" s="1293"/>
      <c r="AQ143" s="1293"/>
      <c r="AR143" s="1293"/>
      <c r="AS143" s="1293"/>
      <c r="AT143" s="1293"/>
      <c r="AU143" s="1293"/>
      <c r="AV143" s="1293"/>
      <c r="AW143" s="1293"/>
      <c r="AX143" s="1713"/>
      <c r="AY143" s="1203"/>
      <c r="AZ143" s="1203"/>
      <c r="BA143" s="1203"/>
      <c r="BB143" s="1203"/>
      <c r="BC143" s="1203"/>
      <c r="BD143" s="1203"/>
      <c r="BE143" s="1210"/>
    </row>
    <row r="144" spans="1:57" ht="15.75" customHeight="1">
      <c r="A144" s="1203"/>
      <c r="B144" s="1712"/>
      <c r="C144" s="1293"/>
      <c r="D144" s="1293"/>
      <c r="E144" s="1293"/>
      <c r="F144" s="1293"/>
      <c r="G144" s="1293"/>
      <c r="H144" s="1293"/>
      <c r="I144" s="1293"/>
      <c r="J144" s="1293"/>
      <c r="K144" s="1293"/>
      <c r="L144" s="1293"/>
      <c r="M144" s="1293"/>
      <c r="N144" s="1293"/>
      <c r="O144" s="1293"/>
      <c r="P144" s="1293"/>
      <c r="Q144" s="1293"/>
      <c r="R144" s="1293"/>
      <c r="S144" s="1293"/>
      <c r="T144" s="1293"/>
      <c r="U144" s="1293"/>
      <c r="V144" s="1293"/>
      <c r="W144" s="1293"/>
      <c r="X144" s="1293"/>
      <c r="Y144" s="1293"/>
      <c r="Z144" s="1293"/>
      <c r="AA144" s="1293"/>
      <c r="AB144" s="1293"/>
      <c r="AC144" s="1293"/>
      <c r="AD144" s="1293"/>
      <c r="AE144" s="1293"/>
      <c r="AF144" s="1293"/>
      <c r="AG144" s="1293"/>
      <c r="AH144" s="1293"/>
      <c r="AI144" s="1293"/>
      <c r="AJ144" s="1293"/>
      <c r="AK144" s="1293"/>
      <c r="AL144" s="1293"/>
      <c r="AM144" s="1293"/>
      <c r="AN144" s="1293"/>
      <c r="AO144" s="1293"/>
      <c r="AP144" s="1293"/>
      <c r="AQ144" s="1293"/>
      <c r="AR144" s="1293"/>
      <c r="AS144" s="1293"/>
      <c r="AT144" s="1293"/>
      <c r="AU144" s="1293"/>
      <c r="AV144" s="1293"/>
      <c r="AW144" s="1293"/>
      <c r="AX144" s="1713"/>
      <c r="AY144" s="1203"/>
      <c r="AZ144" s="1203"/>
      <c r="BA144" s="1203"/>
      <c r="BB144" s="1203"/>
      <c r="BC144" s="1203"/>
      <c r="BD144" s="1203"/>
      <c r="BE144" s="1210"/>
    </row>
    <row r="145" spans="1:57" ht="15.75" customHeight="1">
      <c r="A145" s="1203"/>
      <c r="B145" s="1712"/>
      <c r="C145" s="1293"/>
      <c r="D145" s="1293"/>
      <c r="E145" s="1293"/>
      <c r="F145" s="1293"/>
      <c r="G145" s="1293"/>
      <c r="H145" s="1293"/>
      <c r="I145" s="1293"/>
      <c r="J145" s="1293"/>
      <c r="K145" s="1293"/>
      <c r="L145" s="1293"/>
      <c r="M145" s="1293"/>
      <c r="N145" s="1293"/>
      <c r="O145" s="1293"/>
      <c r="P145" s="1293"/>
      <c r="Q145" s="1293"/>
      <c r="R145" s="1293"/>
      <c r="S145" s="1293"/>
      <c r="T145" s="1293"/>
      <c r="U145" s="1293"/>
      <c r="V145" s="1293"/>
      <c r="W145" s="1293"/>
      <c r="X145" s="1293"/>
      <c r="Y145" s="1293"/>
      <c r="Z145" s="1293"/>
      <c r="AA145" s="1293"/>
      <c r="AB145" s="1293"/>
      <c r="AC145" s="1293"/>
      <c r="AD145" s="1293"/>
      <c r="AE145" s="1293"/>
      <c r="AF145" s="1293"/>
      <c r="AG145" s="1293"/>
      <c r="AH145" s="1293"/>
      <c r="AI145" s="1293"/>
      <c r="AJ145" s="1293"/>
      <c r="AK145" s="1293"/>
      <c r="AL145" s="1293"/>
      <c r="AM145" s="1293"/>
      <c r="AN145" s="1293"/>
      <c r="AO145" s="1293"/>
      <c r="AP145" s="1293"/>
      <c r="AQ145" s="1293"/>
      <c r="AR145" s="1293"/>
      <c r="AS145" s="1293"/>
      <c r="AT145" s="1293"/>
      <c r="AU145" s="1293"/>
      <c r="AV145" s="1293"/>
      <c r="AW145" s="1293"/>
      <c r="AX145" s="1713"/>
      <c r="AY145" s="1203"/>
      <c r="AZ145" s="1203"/>
      <c r="BA145" s="1203"/>
      <c r="BB145" s="1203"/>
      <c r="BC145" s="1203"/>
      <c r="BD145" s="1203"/>
      <c r="BE145" s="1210"/>
    </row>
    <row r="146" spans="1:57" ht="15.75" customHeight="1">
      <c r="A146" s="1203"/>
      <c r="B146" s="1712"/>
      <c r="C146" s="1293"/>
      <c r="D146" s="1293"/>
      <c r="E146" s="1293"/>
      <c r="F146" s="1293"/>
      <c r="G146" s="1293"/>
      <c r="H146" s="1293"/>
      <c r="I146" s="1293"/>
      <c r="J146" s="1293"/>
      <c r="K146" s="1293"/>
      <c r="L146" s="1293"/>
      <c r="M146" s="1293"/>
      <c r="N146" s="1293"/>
      <c r="O146" s="1293"/>
      <c r="P146" s="1293"/>
      <c r="Q146" s="1293"/>
      <c r="R146" s="1293"/>
      <c r="S146" s="1293"/>
      <c r="T146" s="1293"/>
      <c r="U146" s="1293"/>
      <c r="V146" s="1293"/>
      <c r="W146" s="1293"/>
      <c r="X146" s="1293"/>
      <c r="Y146" s="1293"/>
      <c r="Z146" s="1293"/>
      <c r="AA146" s="1293"/>
      <c r="AB146" s="1293"/>
      <c r="AC146" s="1293"/>
      <c r="AD146" s="1293"/>
      <c r="AE146" s="1293"/>
      <c r="AF146" s="1293"/>
      <c r="AG146" s="1293"/>
      <c r="AH146" s="1293"/>
      <c r="AI146" s="1293"/>
      <c r="AJ146" s="1293"/>
      <c r="AK146" s="1293"/>
      <c r="AL146" s="1293"/>
      <c r="AM146" s="1293"/>
      <c r="AN146" s="1293"/>
      <c r="AO146" s="1293"/>
      <c r="AP146" s="1293"/>
      <c r="AQ146" s="1293"/>
      <c r="AR146" s="1293"/>
      <c r="AS146" s="1293"/>
      <c r="AT146" s="1293"/>
      <c r="AU146" s="1293"/>
      <c r="AV146" s="1293"/>
      <c r="AW146" s="1293"/>
      <c r="AX146" s="1713"/>
      <c r="AY146" s="1203"/>
      <c r="AZ146" s="1203"/>
      <c r="BA146" s="1203"/>
      <c r="BB146" s="1203"/>
      <c r="BC146" s="1203"/>
      <c r="BD146" s="1203"/>
      <c r="BE146" s="1210"/>
    </row>
    <row r="147" spans="1:57" ht="15.75" customHeight="1" thickBot="1">
      <c r="A147" s="1203"/>
      <c r="B147" s="1714"/>
      <c r="C147" s="1294"/>
      <c r="D147" s="1294"/>
      <c r="E147" s="1294"/>
      <c r="F147" s="1294"/>
      <c r="G147" s="1294"/>
      <c r="H147" s="1294"/>
      <c r="I147" s="1294"/>
      <c r="J147" s="1294"/>
      <c r="K147" s="1294"/>
      <c r="L147" s="1294"/>
      <c r="M147" s="1294"/>
      <c r="N147" s="1294"/>
      <c r="O147" s="1294"/>
      <c r="P147" s="1294"/>
      <c r="Q147" s="1294"/>
      <c r="R147" s="1294"/>
      <c r="S147" s="1294"/>
      <c r="T147" s="1294"/>
      <c r="U147" s="1294"/>
      <c r="V147" s="1294"/>
      <c r="W147" s="1294"/>
      <c r="X147" s="1294"/>
      <c r="Y147" s="1294"/>
      <c r="Z147" s="1294"/>
      <c r="AA147" s="1294"/>
      <c r="AB147" s="1294"/>
      <c r="AC147" s="1294"/>
      <c r="AD147" s="1294"/>
      <c r="AE147" s="1294"/>
      <c r="AF147" s="1294"/>
      <c r="AG147" s="1294"/>
      <c r="AH147" s="1294"/>
      <c r="AI147" s="1294"/>
      <c r="AJ147" s="1294"/>
      <c r="AK147" s="1294"/>
      <c r="AL147" s="1294"/>
      <c r="AM147" s="1294"/>
      <c r="AN147" s="1294"/>
      <c r="AO147" s="1294"/>
      <c r="AP147" s="1294"/>
      <c r="AQ147" s="1294"/>
      <c r="AR147" s="1294"/>
      <c r="AS147" s="1294"/>
      <c r="AT147" s="1294"/>
      <c r="AU147" s="1294"/>
      <c r="AV147" s="1294"/>
      <c r="AW147" s="1294"/>
      <c r="AX147" s="1388"/>
      <c r="AY147" s="1203"/>
      <c r="AZ147" s="1203"/>
      <c r="BA147" s="1203"/>
      <c r="BB147" s="1203"/>
      <c r="BC147" s="1203"/>
      <c r="BD147" s="1203"/>
      <c r="BE147" s="1210"/>
    </row>
    <row r="148" spans="1:57" ht="15.75" customHeight="1" thickBot="1">
      <c r="A148" s="1203"/>
      <c r="B148" s="1203"/>
      <c r="C148" s="1203"/>
      <c r="D148" s="1203"/>
      <c r="E148" s="1203"/>
      <c r="F148" s="1203"/>
      <c r="G148" s="1203"/>
      <c r="H148" s="1203"/>
      <c r="I148" s="1203"/>
      <c r="J148" s="1203"/>
      <c r="K148" s="1203"/>
      <c r="L148" s="1203"/>
      <c r="M148" s="1203"/>
      <c r="N148" s="1203"/>
      <c r="O148" s="1203"/>
      <c r="P148" s="1203"/>
      <c r="Q148" s="1203"/>
      <c r="R148" s="1203"/>
      <c r="S148" s="1203"/>
      <c r="T148" s="1203"/>
      <c r="U148" s="1203"/>
      <c r="V148" s="1203"/>
      <c r="W148" s="1203"/>
      <c r="X148" s="1203"/>
      <c r="Y148" s="1203"/>
      <c r="Z148" s="1203"/>
      <c r="AA148" s="1203"/>
      <c r="AB148" s="1203"/>
      <c r="AC148" s="1203"/>
      <c r="AD148" s="1203"/>
      <c r="AE148" s="1203"/>
      <c r="AF148" s="1203"/>
      <c r="AG148" s="1203"/>
      <c r="AH148" s="1203"/>
      <c r="AI148" s="1203"/>
      <c r="AJ148" s="1203"/>
      <c r="AK148" s="1203"/>
      <c r="AL148" s="1203"/>
      <c r="AM148" s="1203"/>
      <c r="AN148" s="1203"/>
      <c r="AO148" s="1203"/>
      <c r="AP148" s="1203"/>
      <c r="AQ148" s="1203"/>
      <c r="AR148" s="1203"/>
      <c r="AS148" s="1203"/>
      <c r="AT148" s="1203"/>
      <c r="AU148" s="1203"/>
      <c r="AV148" s="1203"/>
      <c r="AW148" s="1203"/>
      <c r="AX148" s="1203"/>
      <c r="AY148" s="1203"/>
      <c r="AZ148" s="1203"/>
      <c r="BA148" s="1203"/>
      <c r="BB148" s="1203"/>
      <c r="BC148" s="1203"/>
      <c r="BD148" s="1203"/>
      <c r="BE148" s="1210"/>
    </row>
    <row r="149" spans="1:57" ht="15.75" customHeight="1" thickBot="1">
      <c r="A149" s="1203"/>
      <c r="B149" s="1226" t="s">
        <v>2073</v>
      </c>
      <c r="C149" s="1227"/>
      <c r="D149" s="1227"/>
      <c r="E149" s="1227"/>
      <c r="F149" s="1227"/>
      <c r="G149" s="1227"/>
      <c r="H149" s="1227"/>
      <c r="I149" s="1227"/>
      <c r="J149" s="1227"/>
      <c r="K149" s="1227"/>
      <c r="L149" s="1227"/>
      <c r="M149" s="1228"/>
      <c r="N149" s="1211"/>
      <c r="O149" s="1211"/>
      <c r="P149" s="1203"/>
      <c r="Q149" s="1203"/>
      <c r="R149" s="1203"/>
      <c r="S149" s="1203"/>
      <c r="T149" s="1203"/>
      <c r="U149" s="1203" t="s">
        <v>366</v>
      </c>
      <c r="V149" s="1203"/>
      <c r="W149" s="1203"/>
      <c r="X149" s="1226" t="s">
        <v>2074</v>
      </c>
      <c r="Y149" s="1227"/>
      <c r="Z149" s="1227"/>
      <c r="AA149" s="1227"/>
      <c r="AB149" s="1227"/>
      <c r="AC149" s="1227"/>
      <c r="AD149" s="1227"/>
      <c r="AE149" s="1227"/>
      <c r="AF149" s="1227"/>
      <c r="AG149" s="1227"/>
      <c r="AH149" s="1227"/>
      <c r="AI149" s="1227"/>
      <c r="AJ149" s="1227"/>
      <c r="AK149" s="1221"/>
      <c r="AL149" s="1221"/>
      <c r="AM149" s="1222"/>
      <c r="AN149" s="1203"/>
      <c r="AO149" s="1203"/>
      <c r="AP149" s="1203"/>
      <c r="AQ149" s="1203"/>
      <c r="AR149" s="1203"/>
      <c r="AS149" s="1203"/>
      <c r="AT149" s="1203"/>
      <c r="AU149" s="1203"/>
      <c r="AV149" s="1203"/>
      <c r="AW149" s="1203"/>
      <c r="AX149" s="1203"/>
      <c r="AY149" s="1203"/>
      <c r="AZ149" s="1203"/>
      <c r="BA149" s="1203"/>
      <c r="BB149" s="1203"/>
      <c r="BC149" s="1203"/>
      <c r="BD149" s="1203"/>
      <c r="BE149" s="1210"/>
    </row>
    <row r="150" spans="1:57" ht="15.75" customHeight="1" thickBot="1">
      <c r="A150" s="1203"/>
      <c r="B150" s="1203"/>
      <c r="C150" s="1203"/>
      <c r="D150" s="1203"/>
      <c r="E150" s="1203"/>
      <c r="F150" s="1203"/>
      <c r="G150" s="1203"/>
      <c r="H150" s="1203"/>
      <c r="I150" s="1203"/>
      <c r="J150" s="1203"/>
      <c r="K150" s="1203"/>
      <c r="L150" s="1203"/>
      <c r="M150" s="1203"/>
      <c r="N150" s="1203"/>
      <c r="O150" s="1203"/>
      <c r="P150" s="1211"/>
      <c r="Q150" s="1203"/>
      <c r="R150" s="1203"/>
      <c r="S150" s="1203"/>
      <c r="T150" s="1203"/>
      <c r="U150" s="1203"/>
      <c r="V150" s="1203"/>
      <c r="W150" s="1203"/>
      <c r="X150" s="1203"/>
      <c r="Y150" s="1203"/>
      <c r="Z150" s="1203"/>
      <c r="AA150" s="1203"/>
      <c r="AB150" s="1203"/>
      <c r="AC150" s="1203"/>
      <c r="AD150" s="1203"/>
      <c r="AE150" s="1203"/>
      <c r="AF150" s="1203"/>
      <c r="AG150" s="1203"/>
      <c r="AH150" s="1203"/>
      <c r="AI150" s="1203"/>
      <c r="AJ150" s="1203"/>
      <c r="AK150" s="1203"/>
      <c r="AL150" s="1203"/>
      <c r="AM150" s="1203"/>
      <c r="AN150" s="1203"/>
      <c r="AO150" s="1203"/>
      <c r="AP150" s="1203"/>
      <c r="AQ150" s="1203"/>
      <c r="AR150" s="1203"/>
      <c r="AS150" s="1203"/>
      <c r="AT150" s="1203"/>
      <c r="AU150" s="1203"/>
      <c r="AV150" s="1203"/>
      <c r="AW150" s="1203"/>
      <c r="AX150" s="1203"/>
      <c r="AY150" s="1203"/>
      <c r="AZ150" s="1203"/>
      <c r="BA150" s="1203"/>
      <c r="BB150" s="1203"/>
      <c r="BC150" s="1203"/>
      <c r="BD150" s="1203"/>
      <c r="BE150" s="1210"/>
    </row>
    <row r="151" spans="1:57" ht="15.75" customHeight="1">
      <c r="A151" s="1203"/>
      <c r="B151" s="1726" t="s">
        <v>2075</v>
      </c>
      <c r="C151" s="1288"/>
      <c r="D151" s="1288"/>
      <c r="E151" s="1288"/>
      <c r="F151" s="1288"/>
      <c r="G151" s="1288"/>
      <c r="H151" s="1288"/>
      <c r="I151" s="1288"/>
      <c r="J151" s="1288"/>
      <c r="K151" s="1288"/>
      <c r="L151" s="1288"/>
      <c r="M151" s="1288"/>
      <c r="N151" s="1288"/>
      <c r="O151" s="1288"/>
      <c r="P151" s="1288"/>
      <c r="Q151" s="1288"/>
      <c r="R151" s="1288"/>
      <c r="S151" s="1288"/>
      <c r="T151" s="1288"/>
      <c r="U151" s="1272"/>
      <c r="V151" s="1203"/>
      <c r="W151" s="1204"/>
      <c r="X151" s="1726" t="s">
        <v>2076</v>
      </c>
      <c r="Y151" s="1288"/>
      <c r="Z151" s="1288"/>
      <c r="AA151" s="1288"/>
      <c r="AB151" s="1288"/>
      <c r="AC151" s="1288"/>
      <c r="AD151" s="1288"/>
      <c r="AE151" s="1288"/>
      <c r="AF151" s="1288"/>
      <c r="AG151" s="1288"/>
      <c r="AH151" s="1288"/>
      <c r="AI151" s="1288"/>
      <c r="AJ151" s="1288"/>
      <c r="AK151" s="1288"/>
      <c r="AL151" s="1288"/>
      <c r="AM151" s="1288"/>
      <c r="AN151" s="1288"/>
      <c r="AO151" s="1288"/>
      <c r="AP151" s="1288"/>
      <c r="AQ151" s="1272"/>
      <c r="AR151" s="1203"/>
      <c r="AS151" s="1203"/>
      <c r="AT151" s="1203"/>
      <c r="AU151" s="1203"/>
      <c r="AV151" s="1203"/>
      <c r="AW151" s="1203"/>
      <c r="AX151" s="1203"/>
      <c r="AY151" s="1203"/>
      <c r="AZ151" s="1203"/>
      <c r="BA151" s="1203"/>
      <c r="BB151" s="1203"/>
      <c r="BC151" s="1203"/>
      <c r="BD151" s="1203"/>
      <c r="BE151" s="1210"/>
    </row>
    <row r="152" spans="1:57" ht="15.75" customHeight="1">
      <c r="A152" s="1203"/>
      <c r="B152" s="1768"/>
      <c r="C152" s="1417"/>
      <c r="D152" s="1417"/>
      <c r="E152" s="1417"/>
      <c r="F152" s="1417"/>
      <c r="G152" s="1417"/>
      <c r="H152" s="1423"/>
      <c r="I152" s="1716" t="s">
        <v>2042</v>
      </c>
      <c r="J152" s="1417"/>
      <c r="K152" s="1417"/>
      <c r="L152" s="1417"/>
      <c r="M152" s="1417"/>
      <c r="N152" s="1417"/>
      <c r="O152" s="1423"/>
      <c r="P152" s="1716" t="s">
        <v>2077</v>
      </c>
      <c r="Q152" s="1417"/>
      <c r="R152" s="1417"/>
      <c r="S152" s="1417"/>
      <c r="T152" s="1417"/>
      <c r="U152" s="1423"/>
      <c r="V152" s="1203"/>
      <c r="W152" s="1203"/>
      <c r="X152" s="1768"/>
      <c r="Y152" s="1417"/>
      <c r="Z152" s="1417"/>
      <c r="AA152" s="1417"/>
      <c r="AB152" s="1417"/>
      <c r="AC152" s="1417"/>
      <c r="AD152" s="1423"/>
      <c r="AE152" s="1716" t="s">
        <v>2042</v>
      </c>
      <c r="AF152" s="1417"/>
      <c r="AG152" s="1417"/>
      <c r="AH152" s="1417"/>
      <c r="AI152" s="1417"/>
      <c r="AJ152" s="1417"/>
      <c r="AK152" s="1423"/>
      <c r="AL152" s="1716" t="s">
        <v>2043</v>
      </c>
      <c r="AM152" s="1417"/>
      <c r="AN152" s="1417"/>
      <c r="AO152" s="1417"/>
      <c r="AP152" s="1417"/>
      <c r="AQ152" s="1423"/>
      <c r="AR152" s="1203"/>
      <c r="AS152" s="1203"/>
      <c r="AT152" s="1203"/>
      <c r="AU152" s="1203"/>
      <c r="AV152" s="1203"/>
      <c r="AW152" s="1203"/>
      <c r="AX152" s="1203"/>
      <c r="AY152" s="1203"/>
      <c r="AZ152" s="1203"/>
      <c r="BA152" s="1203"/>
      <c r="BB152" s="1203"/>
      <c r="BC152" s="1203"/>
      <c r="BD152" s="1203"/>
      <c r="BE152" s="1210"/>
    </row>
    <row r="153" spans="1:57" ht="15.75" customHeight="1">
      <c r="A153" s="1203"/>
      <c r="B153" s="1754"/>
      <c r="C153" s="1405"/>
      <c r="D153" s="1405"/>
      <c r="E153" s="1405"/>
      <c r="F153" s="1405"/>
      <c r="G153" s="1405"/>
      <c r="H153" s="1296"/>
      <c r="I153" s="1404"/>
      <c r="J153" s="1405"/>
      <c r="K153" s="1405"/>
      <c r="L153" s="1405"/>
      <c r="M153" s="1405"/>
      <c r="N153" s="1405"/>
      <c r="O153" s="1296"/>
      <c r="P153" s="1404"/>
      <c r="Q153" s="1405"/>
      <c r="R153" s="1405"/>
      <c r="S153" s="1405"/>
      <c r="T153" s="1405"/>
      <c r="U153" s="1296"/>
      <c r="V153" s="1203"/>
      <c r="W153" s="1203"/>
      <c r="X153" s="1754"/>
      <c r="Y153" s="1405"/>
      <c r="Z153" s="1405"/>
      <c r="AA153" s="1405"/>
      <c r="AB153" s="1405"/>
      <c r="AC153" s="1405"/>
      <c r="AD153" s="1296"/>
      <c r="AE153" s="1404"/>
      <c r="AF153" s="1405"/>
      <c r="AG153" s="1405"/>
      <c r="AH153" s="1405"/>
      <c r="AI153" s="1405"/>
      <c r="AJ153" s="1405"/>
      <c r="AK153" s="1296"/>
      <c r="AL153" s="1404"/>
      <c r="AM153" s="1405"/>
      <c r="AN153" s="1405"/>
      <c r="AO153" s="1405"/>
      <c r="AP153" s="1405"/>
      <c r="AQ153" s="1296"/>
      <c r="AR153" s="1203"/>
      <c r="AS153" s="1203"/>
      <c r="AT153" s="1203"/>
      <c r="AU153" s="1203"/>
      <c r="AV153" s="1203"/>
      <c r="AW153" s="1203"/>
      <c r="AX153" s="1203"/>
      <c r="AY153" s="1203"/>
      <c r="AZ153" s="1203"/>
      <c r="BA153" s="1203"/>
      <c r="BB153" s="1203"/>
      <c r="BC153" s="1203"/>
      <c r="BD153" s="1203"/>
      <c r="BE153" s="1210"/>
    </row>
    <row r="154" spans="1:57" ht="15.75" customHeight="1" thickBot="1">
      <c r="A154" s="1203"/>
      <c r="B154" s="1730" t="s">
        <v>2063</v>
      </c>
      <c r="C154" s="1263"/>
      <c r="D154" s="1263"/>
      <c r="E154" s="1263"/>
      <c r="F154" s="1263"/>
      <c r="G154" s="1263"/>
      <c r="H154" s="1264"/>
      <c r="I154" s="1753">
        <v>0</v>
      </c>
      <c r="J154" s="1374"/>
      <c r="K154" s="1374"/>
      <c r="L154" s="1374"/>
      <c r="M154" s="1374"/>
      <c r="N154" s="1374"/>
      <c r="O154" s="1375"/>
      <c r="P154" s="1753">
        <v>0</v>
      </c>
      <c r="Q154" s="1374"/>
      <c r="R154" s="1374"/>
      <c r="S154" s="1374"/>
      <c r="T154" s="1374"/>
      <c r="U154" s="1375"/>
      <c r="V154" s="1203"/>
      <c r="W154" s="1203"/>
      <c r="X154" s="1766" t="s">
        <v>2063</v>
      </c>
      <c r="Y154" s="1685"/>
      <c r="Z154" s="1685"/>
      <c r="AA154" s="1685"/>
      <c r="AB154" s="1685"/>
      <c r="AC154" s="1685"/>
      <c r="AD154" s="1279"/>
      <c r="AE154" s="1717">
        <v>0</v>
      </c>
      <c r="AF154" s="1709"/>
      <c r="AG154" s="1709"/>
      <c r="AH154" s="1709"/>
      <c r="AI154" s="1709"/>
      <c r="AJ154" s="1709"/>
      <c r="AK154" s="1718"/>
      <c r="AL154" s="1717">
        <v>0</v>
      </c>
      <c r="AM154" s="1709"/>
      <c r="AN154" s="1709"/>
      <c r="AO154" s="1709"/>
      <c r="AP154" s="1709"/>
      <c r="AQ154" s="1718"/>
      <c r="AR154" s="1203"/>
      <c r="AS154" s="1203"/>
      <c r="AT154" s="1203"/>
      <c r="AU154" s="1203"/>
      <c r="AV154" s="1203"/>
      <c r="AW154" s="1203"/>
      <c r="AX154" s="1203"/>
      <c r="AY154" s="1203"/>
      <c r="AZ154" s="1203"/>
      <c r="BA154" s="1203"/>
      <c r="BB154" s="1203"/>
      <c r="BC154" s="1203"/>
      <c r="BD154" s="1203"/>
      <c r="BE154" s="1210"/>
    </row>
    <row r="155" spans="1:57" ht="15.75" customHeight="1" thickBot="1">
      <c r="A155" s="1203"/>
      <c r="B155" s="1766" t="s">
        <v>2064</v>
      </c>
      <c r="C155" s="1685"/>
      <c r="D155" s="1685"/>
      <c r="E155" s="1685"/>
      <c r="F155" s="1685"/>
      <c r="G155" s="1685"/>
      <c r="H155" s="1279"/>
      <c r="I155" s="1717">
        <v>0</v>
      </c>
      <c r="J155" s="1709"/>
      <c r="K155" s="1709"/>
      <c r="L155" s="1709"/>
      <c r="M155" s="1709"/>
      <c r="N155" s="1709"/>
      <c r="O155" s="1718"/>
      <c r="P155" s="1717">
        <v>0</v>
      </c>
      <c r="Q155" s="1709"/>
      <c r="R155" s="1709"/>
      <c r="S155" s="1709"/>
      <c r="T155" s="1709"/>
      <c r="U155" s="1718"/>
      <c r="V155" s="1203"/>
      <c r="W155" s="1203"/>
      <c r="X155" s="1203"/>
      <c r="Y155" s="1203"/>
      <c r="Z155" s="1203"/>
      <c r="AA155" s="1203"/>
      <c r="AB155" s="1203"/>
      <c r="AC155" s="1203"/>
      <c r="AD155" s="1203"/>
      <c r="AE155" s="1203"/>
      <c r="AF155" s="1203"/>
      <c r="AG155" s="1203"/>
      <c r="AH155" s="1203"/>
      <c r="AI155" s="1203"/>
      <c r="AJ155" s="1203"/>
      <c r="AK155" s="1203"/>
      <c r="AL155" s="1203"/>
      <c r="AM155" s="1203"/>
      <c r="AN155" s="1203"/>
      <c r="AO155" s="1203"/>
      <c r="AP155" s="1203"/>
      <c r="AQ155" s="1203"/>
      <c r="AR155" s="1203"/>
      <c r="AS155" s="1203"/>
      <c r="AT155" s="1203"/>
      <c r="AU155" s="1203"/>
      <c r="AV155" s="1203"/>
      <c r="AW155" s="1203"/>
      <c r="AX155" s="1203"/>
      <c r="AY155" s="1203"/>
      <c r="AZ155" s="1203"/>
      <c r="BA155" s="1203"/>
      <c r="BB155" s="1203"/>
      <c r="BC155" s="1203"/>
      <c r="BD155" s="1203"/>
      <c r="BE155" s="1210"/>
    </row>
    <row r="156" spans="1:57" ht="15.75" customHeight="1" thickBot="1">
      <c r="A156" s="1203"/>
      <c r="B156" s="1203"/>
      <c r="C156" s="1203"/>
      <c r="D156" s="1203"/>
      <c r="E156" s="1203"/>
      <c r="F156" s="1203"/>
      <c r="G156" s="1203"/>
      <c r="H156" s="1203"/>
      <c r="I156" s="1203"/>
      <c r="J156" s="1203"/>
      <c r="K156" s="1203"/>
      <c r="L156" s="1203"/>
      <c r="M156" s="1203"/>
      <c r="N156" s="1203"/>
      <c r="O156" s="1203"/>
      <c r="P156" s="1203"/>
      <c r="Q156" s="1203"/>
      <c r="R156" s="1203"/>
      <c r="S156" s="1203"/>
      <c r="T156" s="1203"/>
      <c r="U156" s="1203"/>
      <c r="V156" s="1203"/>
      <c r="W156" s="1203"/>
      <c r="X156" s="1203"/>
      <c r="Y156" s="1203"/>
      <c r="Z156" s="1203"/>
      <c r="AA156" s="1203"/>
      <c r="AB156" s="1203"/>
      <c r="AC156" s="1203"/>
      <c r="AD156" s="1203"/>
      <c r="AE156" s="1203"/>
      <c r="AF156" s="1203"/>
      <c r="AG156" s="1203"/>
      <c r="AH156" s="1203"/>
      <c r="AI156" s="1203"/>
      <c r="AJ156" s="1203"/>
      <c r="AK156" s="1203"/>
      <c r="AL156" s="1203"/>
      <c r="AM156" s="1203"/>
      <c r="AN156" s="1203"/>
      <c r="AO156" s="1203"/>
      <c r="AP156" s="1203"/>
      <c r="AQ156" s="1203"/>
      <c r="AR156" s="1203"/>
      <c r="AS156" s="1203"/>
      <c r="AT156" s="1203"/>
      <c r="AU156" s="1203"/>
      <c r="AV156" s="1203"/>
      <c r="AW156" s="1203"/>
      <c r="AX156" s="1203"/>
      <c r="AY156" s="1203"/>
      <c r="AZ156" s="1203"/>
      <c r="BA156" s="1203"/>
      <c r="BB156" s="1203"/>
      <c r="BC156" s="1203"/>
      <c r="BD156" s="1203"/>
      <c r="BE156" s="1210"/>
    </row>
    <row r="157" spans="1:57" ht="15.75" customHeight="1">
      <c r="A157" s="1203"/>
      <c r="B157" s="1203"/>
      <c r="C157" s="1726" t="s">
        <v>2078</v>
      </c>
      <c r="D157" s="1288"/>
      <c r="E157" s="1288"/>
      <c r="F157" s="1288"/>
      <c r="G157" s="1288"/>
      <c r="H157" s="1288"/>
      <c r="I157" s="1288"/>
      <c r="J157" s="1288"/>
      <c r="K157" s="1288"/>
      <c r="L157" s="1288"/>
      <c r="M157" s="1288"/>
      <c r="N157" s="1288"/>
      <c r="O157" s="1288"/>
      <c r="P157" s="1288"/>
      <c r="Q157" s="1288"/>
      <c r="R157" s="1288"/>
      <c r="S157" s="1288"/>
      <c r="T157" s="1288"/>
      <c r="U157" s="1288"/>
      <c r="V157" s="1288"/>
      <c r="W157" s="1288"/>
      <c r="X157" s="1288"/>
      <c r="Y157" s="1288"/>
      <c r="Z157" s="1288"/>
      <c r="AA157" s="1288"/>
      <c r="AB157" s="1288"/>
      <c r="AC157" s="1288"/>
      <c r="AD157" s="1288"/>
      <c r="AE157" s="1288"/>
      <c r="AF157" s="1288"/>
      <c r="AG157" s="1272"/>
      <c r="AH157" s="1203"/>
      <c r="AI157" s="1203"/>
      <c r="AJ157" s="1203"/>
      <c r="AK157" s="1203"/>
      <c r="AL157" s="1203"/>
      <c r="AM157" s="1203"/>
      <c r="AN157" s="1203"/>
      <c r="AO157" s="1203"/>
      <c r="AP157" s="1203"/>
      <c r="AQ157" s="1203"/>
      <c r="AR157" s="1203"/>
      <c r="AS157" s="1203"/>
      <c r="AT157" s="1203"/>
      <c r="AU157" s="1203"/>
      <c r="AV157" s="1203"/>
      <c r="AW157" s="1203"/>
      <c r="AX157" s="1203"/>
      <c r="AY157" s="1203"/>
      <c r="AZ157" s="1203"/>
      <c r="BA157" s="1203"/>
      <c r="BB157" s="1203"/>
      <c r="BC157" s="1203"/>
      <c r="BD157" s="1203"/>
      <c r="BE157" s="1210"/>
    </row>
    <row r="158" spans="1:57" ht="15.75" customHeight="1">
      <c r="A158" s="1203"/>
      <c r="B158" s="1203"/>
      <c r="C158" s="1768" t="s">
        <v>2079</v>
      </c>
      <c r="D158" s="1263"/>
      <c r="E158" s="1263"/>
      <c r="F158" s="1263"/>
      <c r="G158" s="1263"/>
      <c r="H158" s="1263"/>
      <c r="I158" s="1263"/>
      <c r="J158" s="1263"/>
      <c r="K158" s="1263"/>
      <c r="L158" s="1263"/>
      <c r="M158" s="1263"/>
      <c r="N158" s="1263"/>
      <c r="O158" s="1263"/>
      <c r="P158" s="1264"/>
      <c r="Q158" s="1863" t="s">
        <v>2080</v>
      </c>
      <c r="R158" s="1263"/>
      <c r="S158" s="1264"/>
      <c r="T158" s="1804" t="s">
        <v>2081</v>
      </c>
      <c r="U158" s="1263"/>
      <c r="V158" s="1263"/>
      <c r="W158" s="1263"/>
      <c r="X158" s="1263"/>
      <c r="Y158" s="1263"/>
      <c r="Z158" s="1263"/>
      <c r="AA158" s="1264"/>
      <c r="AB158" s="1863" t="s">
        <v>2082</v>
      </c>
      <c r="AC158" s="1263"/>
      <c r="AD158" s="1263"/>
      <c r="AE158" s="1263"/>
      <c r="AF158" s="1263"/>
      <c r="AG158" s="1264"/>
      <c r="AH158" s="1203"/>
      <c r="AI158" s="1203"/>
      <c r="AJ158" s="1203"/>
      <c r="AK158" s="1203"/>
      <c r="AL158" s="1203"/>
      <c r="AM158" s="1203"/>
      <c r="AN158" s="1203"/>
      <c r="AO158" s="1203"/>
      <c r="AP158" s="1203"/>
      <c r="AQ158" s="1203"/>
      <c r="AR158" s="1203"/>
      <c r="AS158" s="1203"/>
      <c r="AT158" s="1203"/>
      <c r="AU158" s="1203"/>
      <c r="AV158" s="1203"/>
      <c r="AW158" s="1203"/>
      <c r="AX158" s="1203"/>
      <c r="AY158" s="1203"/>
      <c r="AZ158" s="1203"/>
      <c r="BA158" s="1203"/>
      <c r="BB158" s="1203"/>
      <c r="BC158" s="1203"/>
      <c r="BD158" s="1203"/>
      <c r="BE158" s="1210"/>
    </row>
    <row r="159" spans="1:57" ht="15.75" customHeight="1">
      <c r="A159" s="1203"/>
      <c r="B159" s="1203"/>
      <c r="C159" s="1719" t="s">
        <v>2083</v>
      </c>
      <c r="D159" s="1263"/>
      <c r="E159" s="1263"/>
      <c r="F159" s="1263"/>
      <c r="G159" s="1263"/>
      <c r="H159" s="1263"/>
      <c r="I159" s="1263"/>
      <c r="J159" s="1263"/>
      <c r="K159" s="1263"/>
      <c r="L159" s="1263"/>
      <c r="M159" s="1263"/>
      <c r="N159" s="1263"/>
      <c r="O159" s="1263"/>
      <c r="P159" s="1264"/>
      <c r="Q159" s="1720">
        <v>55</v>
      </c>
      <c r="R159" s="1374"/>
      <c r="S159" s="1375"/>
      <c r="T159" s="1729"/>
      <c r="U159" s="1374"/>
      <c r="V159" s="1374"/>
      <c r="W159" s="1374"/>
      <c r="X159" s="1374"/>
      <c r="Y159" s="1374"/>
      <c r="Z159" s="1374"/>
      <c r="AA159" s="1375"/>
      <c r="AB159" s="1241"/>
      <c r="AC159" s="1241"/>
      <c r="AD159" s="1241"/>
      <c r="AE159" s="1241"/>
      <c r="AF159" s="1241"/>
      <c r="AG159" s="1242"/>
      <c r="AH159" s="1203"/>
      <c r="AI159" s="1203"/>
      <c r="AJ159" s="1203"/>
      <c r="AK159" s="1203"/>
      <c r="AL159" s="1203"/>
      <c r="AM159" s="1203"/>
      <c r="AN159" s="1203"/>
      <c r="AO159" s="1203"/>
      <c r="AP159" s="1203" t="s">
        <v>366</v>
      </c>
      <c r="AQ159" s="1203"/>
      <c r="AR159" s="1203"/>
      <c r="AS159" s="1203"/>
      <c r="AT159" s="1203"/>
      <c r="AU159" s="1203"/>
      <c r="AV159" s="1203"/>
      <c r="AW159" s="1203"/>
      <c r="AX159" s="1203"/>
      <c r="AY159" s="1203"/>
      <c r="AZ159" s="1203"/>
      <c r="BA159" s="1203"/>
      <c r="BB159" s="1203"/>
      <c r="BC159" s="1203"/>
      <c r="BD159" s="1203"/>
      <c r="BE159" s="1210"/>
    </row>
    <row r="160" spans="1:57" ht="15.75" customHeight="1">
      <c r="A160" s="1203"/>
      <c r="B160" s="1203"/>
      <c r="C160" s="1719" t="s">
        <v>2084</v>
      </c>
      <c r="D160" s="1263"/>
      <c r="E160" s="1263"/>
      <c r="F160" s="1263"/>
      <c r="G160" s="1263"/>
      <c r="H160" s="1263"/>
      <c r="I160" s="1263"/>
      <c r="J160" s="1263"/>
      <c r="K160" s="1263"/>
      <c r="L160" s="1263"/>
      <c r="M160" s="1263"/>
      <c r="N160" s="1263"/>
      <c r="O160" s="1263"/>
      <c r="P160" s="1264"/>
      <c r="Q160" s="1720">
        <v>55</v>
      </c>
      <c r="R160" s="1374"/>
      <c r="S160" s="1375"/>
      <c r="T160" s="1795"/>
      <c r="U160" s="1374"/>
      <c r="V160" s="1374"/>
      <c r="W160" s="1374"/>
      <c r="X160" s="1374"/>
      <c r="Y160" s="1374"/>
      <c r="Z160" s="1374"/>
      <c r="AA160" s="1375"/>
      <c r="AB160" s="1241"/>
      <c r="AC160" s="1241"/>
      <c r="AD160" s="1241"/>
      <c r="AE160" s="1241"/>
      <c r="AF160" s="1241"/>
      <c r="AG160" s="1242"/>
      <c r="AH160" s="1203"/>
      <c r="AI160" s="1203"/>
      <c r="AJ160" s="1203"/>
      <c r="AK160" s="1203"/>
      <c r="AL160" s="1203"/>
      <c r="AM160" s="1203"/>
      <c r="AN160" s="1203"/>
      <c r="AO160" s="1203"/>
      <c r="AP160" s="1203"/>
      <c r="AQ160" s="1203"/>
      <c r="AR160" s="1203"/>
      <c r="AS160" s="1203"/>
      <c r="AT160" s="1203"/>
      <c r="AU160" s="1203"/>
      <c r="AV160" s="1203"/>
      <c r="AW160" s="1203"/>
      <c r="AX160" s="1203"/>
      <c r="AY160" s="1203"/>
      <c r="AZ160" s="1203"/>
      <c r="BA160" s="1203"/>
      <c r="BB160" s="1203"/>
      <c r="BC160" s="1203"/>
      <c r="BD160" s="1203"/>
      <c r="BE160" s="1210"/>
    </row>
    <row r="161" spans="1:57" ht="15.75" customHeight="1">
      <c r="A161" s="1203"/>
      <c r="B161" s="1203"/>
      <c r="C161" s="1719" t="s">
        <v>2085</v>
      </c>
      <c r="D161" s="1263"/>
      <c r="E161" s="1263"/>
      <c r="F161" s="1263"/>
      <c r="G161" s="1263"/>
      <c r="H161" s="1263"/>
      <c r="I161" s="1263"/>
      <c r="J161" s="1263"/>
      <c r="K161" s="1263"/>
      <c r="L161" s="1263"/>
      <c r="M161" s="1263"/>
      <c r="N161" s="1263"/>
      <c r="O161" s="1263"/>
      <c r="P161" s="1264"/>
      <c r="Q161" s="1720">
        <v>55</v>
      </c>
      <c r="R161" s="1374"/>
      <c r="S161" s="1375"/>
      <c r="T161" s="1729"/>
      <c r="U161" s="1374"/>
      <c r="V161" s="1374"/>
      <c r="W161" s="1374"/>
      <c r="X161" s="1374"/>
      <c r="Y161" s="1374"/>
      <c r="Z161" s="1374"/>
      <c r="AA161" s="1375"/>
      <c r="AB161" s="1241"/>
      <c r="AC161" s="1241"/>
      <c r="AD161" s="1241"/>
      <c r="AE161" s="1241"/>
      <c r="AF161" s="1241"/>
      <c r="AG161" s="1242"/>
      <c r="AH161" s="1203"/>
      <c r="AI161" s="1203"/>
      <c r="AJ161" s="1203"/>
      <c r="AK161" s="1203"/>
      <c r="AL161" s="1203"/>
      <c r="AM161" s="1203"/>
      <c r="AN161" s="1203"/>
      <c r="AO161" s="1203"/>
      <c r="AP161" s="1203"/>
      <c r="AQ161" s="1203"/>
      <c r="AR161" s="1203"/>
      <c r="AS161" s="1203"/>
      <c r="AT161" s="1203"/>
      <c r="AU161" s="1203"/>
      <c r="AV161" s="1203"/>
      <c r="AW161" s="1203"/>
      <c r="AX161" s="1203"/>
      <c r="AY161" s="1203"/>
      <c r="AZ161" s="1203"/>
      <c r="BA161" s="1203"/>
      <c r="BB161" s="1203"/>
      <c r="BC161" s="1203"/>
      <c r="BD161" s="1203"/>
      <c r="BE161" s="1210"/>
    </row>
    <row r="162" spans="1:57" ht="15.75" customHeight="1">
      <c r="A162" s="1203"/>
      <c r="B162" s="1203"/>
      <c r="C162" s="1719" t="s">
        <v>2008</v>
      </c>
      <c r="D162" s="1263"/>
      <c r="E162" s="1263"/>
      <c r="F162" s="1263"/>
      <c r="G162" s="1263"/>
      <c r="H162" s="1263"/>
      <c r="I162" s="1263"/>
      <c r="J162" s="1263"/>
      <c r="K162" s="1263"/>
      <c r="L162" s="1263"/>
      <c r="M162" s="1263"/>
      <c r="N162" s="1263"/>
      <c r="O162" s="1263"/>
      <c r="P162" s="1264"/>
      <c r="Q162" s="1720">
        <v>55</v>
      </c>
      <c r="R162" s="1374"/>
      <c r="S162" s="1375"/>
      <c r="T162" s="1729"/>
      <c r="U162" s="1374"/>
      <c r="V162" s="1374"/>
      <c r="W162" s="1374"/>
      <c r="X162" s="1374"/>
      <c r="Y162" s="1374"/>
      <c r="Z162" s="1374"/>
      <c r="AA162" s="1375"/>
      <c r="AB162" s="1840">
        <v>0</v>
      </c>
      <c r="AC162" s="1374"/>
      <c r="AD162" s="1374"/>
      <c r="AE162" s="1374"/>
      <c r="AF162" s="1374"/>
      <c r="AG162" s="1375"/>
      <c r="AH162" s="1203"/>
      <c r="AI162" s="1203"/>
      <c r="AJ162" s="1203"/>
      <c r="AK162" s="1203"/>
      <c r="AL162" s="1203"/>
      <c r="AM162" s="1203"/>
      <c r="AN162" s="1203"/>
      <c r="AO162" s="1203"/>
      <c r="AP162" s="1203"/>
      <c r="AQ162" s="1203"/>
      <c r="AR162" s="1203"/>
      <c r="AS162" s="1203"/>
      <c r="AT162" s="1203"/>
      <c r="AU162" s="1203"/>
      <c r="AV162" s="1203"/>
      <c r="AW162" s="1203"/>
      <c r="AX162" s="1203"/>
      <c r="AY162" s="1203"/>
      <c r="AZ162" s="1203"/>
      <c r="BA162" s="1203"/>
      <c r="BB162" s="1203"/>
      <c r="BC162" s="1203"/>
      <c r="BD162" s="1203"/>
      <c r="BE162" s="1210"/>
    </row>
    <row r="163" spans="1:57" ht="15.75" customHeight="1">
      <c r="A163" s="1203"/>
      <c r="B163" s="1203"/>
      <c r="C163" s="1719" t="s">
        <v>345</v>
      </c>
      <c r="D163" s="1263"/>
      <c r="E163" s="1264"/>
      <c r="F163" s="1855" t="s">
        <v>2086</v>
      </c>
      <c r="G163" s="1374"/>
      <c r="H163" s="1374"/>
      <c r="I163" s="1374"/>
      <c r="J163" s="1374"/>
      <c r="K163" s="1374"/>
      <c r="L163" s="1374"/>
      <c r="M163" s="1374"/>
      <c r="N163" s="1374"/>
      <c r="O163" s="1374"/>
      <c r="P163" s="1375"/>
      <c r="Q163" s="1720">
        <v>55</v>
      </c>
      <c r="R163" s="1374"/>
      <c r="S163" s="1375"/>
      <c r="T163" s="1795"/>
      <c r="U163" s="1374"/>
      <c r="V163" s="1374"/>
      <c r="W163" s="1374"/>
      <c r="X163" s="1374"/>
      <c r="Y163" s="1374"/>
      <c r="Z163" s="1374"/>
      <c r="AA163" s="1375"/>
      <c r="AB163" s="1840">
        <v>0</v>
      </c>
      <c r="AC163" s="1374"/>
      <c r="AD163" s="1374"/>
      <c r="AE163" s="1374"/>
      <c r="AF163" s="1374"/>
      <c r="AG163" s="1375"/>
      <c r="AH163" s="1203"/>
      <c r="AI163" s="1203"/>
      <c r="AJ163" s="1203"/>
      <c r="AK163" s="1203"/>
      <c r="AL163" s="1203"/>
      <c r="AM163" s="1203"/>
      <c r="AN163" s="1203"/>
      <c r="AO163" s="1203"/>
      <c r="AP163" s="1203"/>
      <c r="AQ163" s="1203"/>
      <c r="AR163" s="1203"/>
      <c r="AS163" s="1203"/>
      <c r="AT163" s="1203"/>
      <c r="AU163" s="1203"/>
      <c r="AV163" s="1203"/>
      <c r="AW163" s="1203"/>
      <c r="AX163" s="1203"/>
      <c r="AY163" s="1203"/>
      <c r="AZ163" s="1203"/>
      <c r="BA163" s="1203"/>
      <c r="BB163" s="1203"/>
      <c r="BC163" s="1203"/>
      <c r="BD163" s="1203"/>
      <c r="BE163" s="1210"/>
    </row>
    <row r="164" spans="1:57" ht="15.75" customHeight="1">
      <c r="A164" s="1203"/>
      <c r="B164" s="1203"/>
      <c r="C164" s="1719" t="s">
        <v>345</v>
      </c>
      <c r="D164" s="1263"/>
      <c r="E164" s="1264"/>
      <c r="F164" s="1855" t="s">
        <v>2086</v>
      </c>
      <c r="G164" s="1374"/>
      <c r="H164" s="1374"/>
      <c r="I164" s="1374"/>
      <c r="J164" s="1374"/>
      <c r="K164" s="1374"/>
      <c r="L164" s="1374"/>
      <c r="M164" s="1374"/>
      <c r="N164" s="1374"/>
      <c r="O164" s="1374"/>
      <c r="P164" s="1375"/>
      <c r="Q164" s="1720">
        <v>55</v>
      </c>
      <c r="R164" s="1374"/>
      <c r="S164" s="1375"/>
      <c r="T164" s="1795"/>
      <c r="U164" s="1374"/>
      <c r="V164" s="1374"/>
      <c r="W164" s="1374"/>
      <c r="X164" s="1374"/>
      <c r="Y164" s="1374"/>
      <c r="Z164" s="1374"/>
      <c r="AA164" s="1375"/>
      <c r="AB164" s="1840">
        <v>0</v>
      </c>
      <c r="AC164" s="1374"/>
      <c r="AD164" s="1374"/>
      <c r="AE164" s="1374"/>
      <c r="AF164" s="1374"/>
      <c r="AG164" s="1375"/>
      <c r="AH164" s="1203"/>
      <c r="AI164" s="1203"/>
      <c r="AJ164" s="1203"/>
      <c r="AK164" s="1203" t="s">
        <v>366</v>
      </c>
      <c r="AL164" s="1203"/>
      <c r="AM164" s="1203"/>
      <c r="AN164" s="1203"/>
      <c r="AO164" s="1203"/>
      <c r="AP164" s="1203"/>
      <c r="AQ164" s="1203"/>
      <c r="AR164" s="1203"/>
      <c r="AS164" s="1203"/>
      <c r="AT164" s="1203"/>
      <c r="AU164" s="1203"/>
      <c r="AV164" s="1203"/>
      <c r="AW164" s="1203"/>
      <c r="AX164" s="1203"/>
      <c r="AY164" s="1203"/>
      <c r="AZ164" s="1203"/>
      <c r="BA164" s="1203"/>
      <c r="BB164" s="1203"/>
      <c r="BC164" s="1203"/>
      <c r="BD164" s="1203"/>
      <c r="BE164" s="1210"/>
    </row>
    <row r="165" spans="1:57" ht="15.75" customHeight="1" thickBot="1">
      <c r="A165" s="1203"/>
      <c r="B165" s="1203"/>
      <c r="C165" s="1801" t="s">
        <v>345</v>
      </c>
      <c r="D165" s="1685"/>
      <c r="E165" s="1279"/>
      <c r="F165" s="1832" t="s">
        <v>2086</v>
      </c>
      <c r="G165" s="1709"/>
      <c r="H165" s="1709"/>
      <c r="I165" s="1709"/>
      <c r="J165" s="1709"/>
      <c r="K165" s="1709"/>
      <c r="L165" s="1709"/>
      <c r="M165" s="1709"/>
      <c r="N165" s="1709"/>
      <c r="O165" s="1709"/>
      <c r="P165" s="1718"/>
      <c r="Q165" s="1902">
        <v>55</v>
      </c>
      <c r="R165" s="1709"/>
      <c r="S165" s="1718"/>
      <c r="T165" s="1903"/>
      <c r="U165" s="1709"/>
      <c r="V165" s="1709"/>
      <c r="W165" s="1709"/>
      <c r="X165" s="1709"/>
      <c r="Y165" s="1709"/>
      <c r="Z165" s="1709"/>
      <c r="AA165" s="1718"/>
      <c r="AB165" s="1914">
        <v>0</v>
      </c>
      <c r="AC165" s="1709"/>
      <c r="AD165" s="1709"/>
      <c r="AE165" s="1709"/>
      <c r="AF165" s="1709"/>
      <c r="AG165" s="1718"/>
      <c r="AH165" s="1203"/>
      <c r="AI165" s="1203"/>
      <c r="AJ165" s="1203"/>
      <c r="AK165" s="1203"/>
      <c r="AL165" s="1203"/>
      <c r="AM165" s="1203"/>
      <c r="AN165" s="1203"/>
      <c r="AO165" s="1203"/>
      <c r="AP165" s="1203"/>
      <c r="AQ165" s="1203"/>
      <c r="AR165" s="1203"/>
      <c r="AS165" s="1203"/>
      <c r="AT165" s="1203"/>
      <c r="AU165" s="1203"/>
      <c r="AV165" s="1203"/>
      <c r="AW165" s="1203"/>
      <c r="AX165" s="1203"/>
      <c r="AY165" s="1203"/>
      <c r="AZ165" s="1203"/>
      <c r="BA165" s="1203"/>
      <c r="BB165" s="1203"/>
      <c r="BC165" s="1203"/>
      <c r="BD165" s="1203"/>
      <c r="BE165" s="1210"/>
    </row>
    <row r="166" spans="1:57" ht="15.75" customHeight="1" thickBot="1">
      <c r="A166" s="1203"/>
      <c r="B166" s="1203"/>
      <c r="C166" s="1203"/>
      <c r="D166" s="1203"/>
      <c r="E166" s="1203"/>
      <c r="F166" s="1203"/>
      <c r="G166" s="1203"/>
      <c r="H166" s="1203"/>
      <c r="I166" s="1203"/>
      <c r="J166" s="1203"/>
      <c r="K166" s="1203"/>
      <c r="L166" s="1203"/>
      <c r="M166" s="1203"/>
      <c r="N166" s="1203"/>
      <c r="O166" s="1203"/>
      <c r="P166" s="1203"/>
      <c r="Q166" s="1203"/>
      <c r="R166" s="1203"/>
      <c r="S166" s="1203"/>
      <c r="T166" s="1203"/>
      <c r="U166" s="1203"/>
      <c r="V166" s="1203"/>
      <c r="W166" s="1203"/>
      <c r="X166" s="1203"/>
      <c r="Y166" s="1203"/>
      <c r="Z166" s="1203"/>
      <c r="AA166" s="1203"/>
      <c r="AB166" s="1203"/>
      <c r="AC166" s="1203"/>
      <c r="AD166" s="1203"/>
      <c r="AE166" s="1203"/>
      <c r="AF166" s="1203"/>
      <c r="AG166" s="1203"/>
      <c r="AH166" s="1203"/>
      <c r="AI166" s="1203"/>
      <c r="AJ166" s="1203"/>
      <c r="AK166" s="1203"/>
      <c r="AL166" s="1203"/>
      <c r="AM166" s="1203"/>
      <c r="AN166" s="1203"/>
      <c r="AO166" s="1203"/>
      <c r="AP166" s="1203"/>
      <c r="AQ166" s="1203"/>
      <c r="AR166" s="1203"/>
      <c r="AS166" s="1203"/>
      <c r="AT166" s="1203"/>
      <c r="AU166" s="1203"/>
      <c r="AV166" s="1203"/>
      <c r="AW166" s="1203"/>
      <c r="AX166" s="1203"/>
      <c r="AY166" s="1203"/>
      <c r="AZ166" s="1203"/>
      <c r="BA166" s="1203"/>
      <c r="BB166" s="1203"/>
      <c r="BC166" s="1203"/>
      <c r="BD166" s="1203"/>
      <c r="BE166" s="1210"/>
    </row>
    <row r="167" spans="1:57" ht="15.75" customHeight="1">
      <c r="A167" s="1203"/>
      <c r="B167" s="1203"/>
      <c r="C167" s="1733" t="s">
        <v>2087</v>
      </c>
      <c r="D167" s="1288"/>
      <c r="E167" s="1288"/>
      <c r="F167" s="1288"/>
      <c r="G167" s="1288"/>
      <c r="H167" s="1288"/>
      <c r="I167" s="1288"/>
      <c r="J167" s="1288"/>
      <c r="K167" s="1288"/>
      <c r="L167" s="1288"/>
      <c r="M167" s="1288"/>
      <c r="N167" s="1272"/>
      <c r="O167" s="1203"/>
      <c r="P167" s="1880" t="s">
        <v>2088</v>
      </c>
      <c r="Q167" s="1288"/>
      <c r="R167" s="1288"/>
      <c r="S167" s="1288"/>
      <c r="T167" s="1288"/>
      <c r="U167" s="1288"/>
      <c r="V167" s="1288"/>
      <c r="W167" s="1288"/>
      <c r="X167" s="1288"/>
      <c r="Y167" s="1288"/>
      <c r="Z167" s="1288"/>
      <c r="AA167" s="1288"/>
      <c r="AB167" s="1288"/>
      <c r="AC167" s="1288"/>
      <c r="AD167" s="1288"/>
      <c r="AE167" s="1288"/>
      <c r="AF167" s="1288"/>
      <c r="AG167" s="1288"/>
      <c r="AH167" s="1288"/>
      <c r="AI167" s="1288"/>
      <c r="AJ167" s="1288"/>
      <c r="AK167" s="1288"/>
      <c r="AL167" s="1288"/>
      <c r="AM167" s="1288"/>
      <c r="AN167" s="1288"/>
      <c r="AO167" s="1272"/>
      <c r="AP167" s="1203"/>
      <c r="AQ167" s="1203"/>
      <c r="AR167" s="1203"/>
      <c r="AS167" s="1203"/>
      <c r="AT167" s="1203"/>
      <c r="AU167" s="1203"/>
      <c r="AV167" s="1203"/>
      <c r="AW167" s="1203"/>
      <c r="AX167" s="1203"/>
      <c r="AY167" s="1203"/>
      <c r="AZ167" s="1203"/>
      <c r="BA167" s="1203"/>
      <c r="BB167" s="1203"/>
      <c r="BC167" s="1203"/>
      <c r="BD167" s="1203"/>
      <c r="BE167" s="1210"/>
    </row>
    <row r="168" spans="1:57" ht="15.75" customHeight="1">
      <c r="A168" s="1203"/>
      <c r="B168" s="1203"/>
      <c r="C168" s="1768" t="s">
        <v>2089</v>
      </c>
      <c r="D168" s="1263"/>
      <c r="E168" s="1263"/>
      <c r="F168" s="1263"/>
      <c r="G168" s="1263"/>
      <c r="H168" s="1264"/>
      <c r="I168" s="1863" t="s">
        <v>2090</v>
      </c>
      <c r="J168" s="1263"/>
      <c r="K168" s="1263"/>
      <c r="L168" s="1263"/>
      <c r="M168" s="1263"/>
      <c r="N168" s="1264"/>
      <c r="O168" s="1203"/>
      <c r="P168" s="1711" t="s">
        <v>2035</v>
      </c>
      <c r="Q168" s="1470"/>
      <c r="R168" s="1470"/>
      <c r="S168" s="1470"/>
      <c r="T168" s="1470"/>
      <c r="U168" s="1470"/>
      <c r="V168" s="1470"/>
      <c r="W168" s="1470"/>
      <c r="X168" s="1470"/>
      <c r="Y168" s="1470"/>
      <c r="Z168" s="1470"/>
      <c r="AA168" s="1470"/>
      <c r="AB168" s="1470"/>
      <c r="AC168" s="1470"/>
      <c r="AD168" s="1470"/>
      <c r="AE168" s="1470"/>
      <c r="AF168" s="1470"/>
      <c r="AG168" s="1470"/>
      <c r="AH168" s="1470"/>
      <c r="AI168" s="1470"/>
      <c r="AJ168" s="1470"/>
      <c r="AK168" s="1470"/>
      <c r="AL168" s="1470"/>
      <c r="AM168" s="1470"/>
      <c r="AN168" s="1470"/>
      <c r="AO168" s="1471"/>
      <c r="AP168" s="1203"/>
      <c r="AQ168" s="1203"/>
      <c r="AR168" s="1203"/>
      <c r="AS168" s="1203"/>
      <c r="AT168" s="1203"/>
      <c r="AU168" s="1203"/>
      <c r="AV168" s="1203"/>
      <c r="AW168" s="1203"/>
      <c r="AX168" s="1203"/>
      <c r="AY168" s="1203"/>
      <c r="AZ168" s="1203"/>
      <c r="BA168" s="1203"/>
      <c r="BB168" s="1203"/>
      <c r="BC168" s="1203"/>
      <c r="BD168" s="1203"/>
      <c r="BE168" s="1210"/>
    </row>
    <row r="169" spans="1:57" ht="15.75" customHeight="1">
      <c r="A169" s="1203"/>
      <c r="B169" s="1203"/>
      <c r="C169" s="1715"/>
      <c r="D169" s="1374"/>
      <c r="E169" s="1374"/>
      <c r="F169" s="1374"/>
      <c r="G169" s="1374"/>
      <c r="H169" s="1375"/>
      <c r="I169" s="1729"/>
      <c r="J169" s="1374"/>
      <c r="K169" s="1374"/>
      <c r="L169" s="1374"/>
      <c r="M169" s="1374"/>
      <c r="N169" s="1375"/>
      <c r="O169" s="1203"/>
      <c r="P169" s="1712"/>
      <c r="Q169" s="1293"/>
      <c r="R169" s="1293"/>
      <c r="S169" s="1293"/>
      <c r="T169" s="1293"/>
      <c r="U169" s="1293"/>
      <c r="V169" s="1293"/>
      <c r="W169" s="1293"/>
      <c r="X169" s="1293"/>
      <c r="Y169" s="1293"/>
      <c r="Z169" s="1293"/>
      <c r="AA169" s="1293"/>
      <c r="AB169" s="1293"/>
      <c r="AC169" s="1293"/>
      <c r="AD169" s="1293"/>
      <c r="AE169" s="1293"/>
      <c r="AF169" s="1293"/>
      <c r="AG169" s="1293"/>
      <c r="AH169" s="1293"/>
      <c r="AI169" s="1293"/>
      <c r="AJ169" s="1293"/>
      <c r="AK169" s="1293"/>
      <c r="AL169" s="1293"/>
      <c r="AM169" s="1293"/>
      <c r="AN169" s="1293"/>
      <c r="AO169" s="1713"/>
      <c r="AP169" s="1203"/>
      <c r="AQ169" s="1203"/>
      <c r="AR169" s="1203"/>
      <c r="AS169" s="1203"/>
      <c r="AT169" s="1203"/>
      <c r="AU169" s="1203"/>
      <c r="AV169" s="1203"/>
      <c r="AW169" s="1203"/>
      <c r="AX169" s="1203"/>
      <c r="AY169" s="1203"/>
      <c r="AZ169" s="1203"/>
      <c r="BA169" s="1203"/>
      <c r="BB169" s="1203"/>
      <c r="BC169" s="1203"/>
      <c r="BD169" s="1203"/>
      <c r="BE169" s="1210"/>
    </row>
    <row r="170" spans="1:57" ht="15.75" customHeight="1">
      <c r="A170" s="1203"/>
      <c r="B170" s="1203"/>
      <c r="C170" s="1715"/>
      <c r="D170" s="1374"/>
      <c r="E170" s="1374"/>
      <c r="F170" s="1374"/>
      <c r="G170" s="1374"/>
      <c r="H170" s="1375"/>
      <c r="I170" s="1729"/>
      <c r="J170" s="1374"/>
      <c r="K170" s="1374"/>
      <c r="L170" s="1374"/>
      <c r="M170" s="1374"/>
      <c r="N170" s="1375"/>
      <c r="O170" s="1203"/>
      <c r="P170" s="1712"/>
      <c r="Q170" s="1293"/>
      <c r="R170" s="1293"/>
      <c r="S170" s="1293"/>
      <c r="T170" s="1293"/>
      <c r="U170" s="1293"/>
      <c r="V170" s="1293"/>
      <c r="W170" s="1293"/>
      <c r="X170" s="1293"/>
      <c r="Y170" s="1293"/>
      <c r="Z170" s="1293"/>
      <c r="AA170" s="1293"/>
      <c r="AB170" s="1293"/>
      <c r="AC170" s="1293"/>
      <c r="AD170" s="1293"/>
      <c r="AE170" s="1293"/>
      <c r="AF170" s="1293"/>
      <c r="AG170" s="1293"/>
      <c r="AH170" s="1293"/>
      <c r="AI170" s="1293"/>
      <c r="AJ170" s="1293"/>
      <c r="AK170" s="1293"/>
      <c r="AL170" s="1293"/>
      <c r="AM170" s="1293"/>
      <c r="AN170" s="1293"/>
      <c r="AO170" s="1713"/>
      <c r="AP170" s="1203"/>
      <c r="AQ170" s="1203"/>
      <c r="AR170" s="1203"/>
      <c r="AS170" s="1203"/>
      <c r="AT170" s="1203"/>
      <c r="AU170" s="1203"/>
      <c r="AV170" s="1203"/>
      <c r="AW170" s="1203"/>
      <c r="AX170" s="1203"/>
      <c r="AY170" s="1203"/>
      <c r="AZ170" s="1203"/>
      <c r="BA170" s="1203"/>
      <c r="BB170" s="1203"/>
      <c r="BC170" s="1203"/>
      <c r="BD170" s="1203"/>
      <c r="BE170" s="1210"/>
    </row>
    <row r="171" spans="1:57" ht="15.75" customHeight="1">
      <c r="A171" s="1203"/>
      <c r="B171" s="1203"/>
      <c r="C171" s="1715"/>
      <c r="D171" s="1374"/>
      <c r="E171" s="1374"/>
      <c r="F171" s="1374"/>
      <c r="G171" s="1374"/>
      <c r="H171" s="1375"/>
      <c r="I171" s="1729"/>
      <c r="J171" s="1374"/>
      <c r="K171" s="1374"/>
      <c r="L171" s="1374"/>
      <c r="M171" s="1374"/>
      <c r="N171" s="1375"/>
      <c r="O171" s="1203"/>
      <c r="P171" s="1712"/>
      <c r="Q171" s="1293"/>
      <c r="R171" s="1293"/>
      <c r="S171" s="1293"/>
      <c r="T171" s="1293"/>
      <c r="U171" s="1293"/>
      <c r="V171" s="1293"/>
      <c r="W171" s="1293"/>
      <c r="X171" s="1293"/>
      <c r="Y171" s="1293"/>
      <c r="Z171" s="1293"/>
      <c r="AA171" s="1293"/>
      <c r="AB171" s="1293"/>
      <c r="AC171" s="1293"/>
      <c r="AD171" s="1293"/>
      <c r="AE171" s="1293"/>
      <c r="AF171" s="1293"/>
      <c r="AG171" s="1293"/>
      <c r="AH171" s="1293"/>
      <c r="AI171" s="1293"/>
      <c r="AJ171" s="1293"/>
      <c r="AK171" s="1293"/>
      <c r="AL171" s="1293"/>
      <c r="AM171" s="1293"/>
      <c r="AN171" s="1293"/>
      <c r="AO171" s="1713"/>
      <c r="AP171" s="1203"/>
      <c r="AQ171" s="1203"/>
      <c r="AR171" s="1203"/>
      <c r="AS171" s="1203"/>
      <c r="AT171" s="1203"/>
      <c r="AU171" s="1203"/>
      <c r="AV171" s="1203"/>
      <c r="AW171" s="1203"/>
      <c r="AX171" s="1203"/>
      <c r="AY171" s="1203"/>
      <c r="AZ171" s="1203"/>
      <c r="BA171" s="1203"/>
      <c r="BB171" s="1203"/>
      <c r="BC171" s="1203"/>
      <c r="BD171" s="1203"/>
      <c r="BE171" s="1210"/>
    </row>
    <row r="172" spans="1:57" ht="15.75" customHeight="1">
      <c r="A172" s="1203"/>
      <c r="B172" s="1203"/>
      <c r="C172" s="1715"/>
      <c r="D172" s="1374"/>
      <c r="E172" s="1374"/>
      <c r="F172" s="1374"/>
      <c r="G172" s="1374"/>
      <c r="H172" s="1375"/>
      <c r="I172" s="1729"/>
      <c r="J172" s="1374"/>
      <c r="K172" s="1374"/>
      <c r="L172" s="1374"/>
      <c r="M172" s="1374"/>
      <c r="N172" s="1375"/>
      <c r="O172" s="1203"/>
      <c r="P172" s="1712"/>
      <c r="Q172" s="1293"/>
      <c r="R172" s="1293"/>
      <c r="S172" s="1293"/>
      <c r="T172" s="1293"/>
      <c r="U172" s="1293"/>
      <c r="V172" s="1293"/>
      <c r="W172" s="1293"/>
      <c r="X172" s="1293"/>
      <c r="Y172" s="1293"/>
      <c r="Z172" s="1293"/>
      <c r="AA172" s="1293"/>
      <c r="AB172" s="1293"/>
      <c r="AC172" s="1293"/>
      <c r="AD172" s="1293"/>
      <c r="AE172" s="1293"/>
      <c r="AF172" s="1293"/>
      <c r="AG172" s="1293"/>
      <c r="AH172" s="1293"/>
      <c r="AI172" s="1293"/>
      <c r="AJ172" s="1293"/>
      <c r="AK172" s="1293"/>
      <c r="AL172" s="1293"/>
      <c r="AM172" s="1293"/>
      <c r="AN172" s="1293"/>
      <c r="AO172" s="1713"/>
      <c r="AP172" s="1203"/>
      <c r="AQ172" s="1203"/>
      <c r="AR172" s="1203"/>
      <c r="AS172" s="1203"/>
      <c r="AT172" s="1203"/>
      <c r="AU172" s="1203"/>
      <c r="AV172" s="1203"/>
      <c r="AW172" s="1203"/>
      <c r="AX172" s="1203"/>
      <c r="AY172" s="1203"/>
      <c r="AZ172" s="1203"/>
      <c r="BA172" s="1203"/>
      <c r="BB172" s="1203"/>
      <c r="BC172" s="1203"/>
      <c r="BD172" s="1203"/>
      <c r="BE172" s="1210"/>
    </row>
    <row r="173" spans="1:57" ht="15.75" customHeight="1">
      <c r="A173" s="1203"/>
      <c r="B173" s="1203"/>
      <c r="C173" s="1715"/>
      <c r="D173" s="1374"/>
      <c r="E173" s="1374"/>
      <c r="F173" s="1374"/>
      <c r="G173" s="1374"/>
      <c r="H173" s="1375"/>
      <c r="I173" s="1729"/>
      <c r="J173" s="1374"/>
      <c r="K173" s="1374"/>
      <c r="L173" s="1374"/>
      <c r="M173" s="1374"/>
      <c r="N173" s="1375"/>
      <c r="O173" s="1203"/>
      <c r="P173" s="1712"/>
      <c r="Q173" s="1293"/>
      <c r="R173" s="1293"/>
      <c r="S173" s="1293"/>
      <c r="T173" s="1293"/>
      <c r="U173" s="1293"/>
      <c r="V173" s="1293"/>
      <c r="W173" s="1293"/>
      <c r="X173" s="1293"/>
      <c r="Y173" s="1293"/>
      <c r="Z173" s="1293"/>
      <c r="AA173" s="1293"/>
      <c r="AB173" s="1293"/>
      <c r="AC173" s="1293"/>
      <c r="AD173" s="1293"/>
      <c r="AE173" s="1293"/>
      <c r="AF173" s="1293"/>
      <c r="AG173" s="1293"/>
      <c r="AH173" s="1293"/>
      <c r="AI173" s="1293"/>
      <c r="AJ173" s="1293"/>
      <c r="AK173" s="1293"/>
      <c r="AL173" s="1293"/>
      <c r="AM173" s="1293"/>
      <c r="AN173" s="1293"/>
      <c r="AO173" s="1713"/>
      <c r="AP173" s="1203"/>
      <c r="AQ173" s="1203"/>
      <c r="AR173" s="1203"/>
      <c r="AS173" s="1203"/>
      <c r="AT173" s="1203"/>
      <c r="AU173" s="1203"/>
      <c r="AV173" s="1203"/>
      <c r="AW173" s="1203"/>
      <c r="AX173" s="1203"/>
      <c r="AY173" s="1203"/>
      <c r="AZ173" s="1203"/>
      <c r="BA173" s="1203"/>
      <c r="BB173" s="1203"/>
      <c r="BC173" s="1203"/>
      <c r="BD173" s="1203"/>
      <c r="BE173" s="1210"/>
    </row>
    <row r="174" spans="1:57" ht="15.75" customHeight="1">
      <c r="A174" s="1203"/>
      <c r="B174" s="1203"/>
      <c r="C174" s="1715"/>
      <c r="D174" s="1374"/>
      <c r="E174" s="1374"/>
      <c r="F174" s="1374"/>
      <c r="G174" s="1374"/>
      <c r="H174" s="1375"/>
      <c r="I174" s="1729"/>
      <c r="J174" s="1374"/>
      <c r="K174" s="1374"/>
      <c r="L174" s="1374"/>
      <c r="M174" s="1374"/>
      <c r="N174" s="1375"/>
      <c r="O174" s="1203"/>
      <c r="P174" s="1712"/>
      <c r="Q174" s="1293"/>
      <c r="R174" s="1293"/>
      <c r="S174" s="1293"/>
      <c r="T174" s="1293"/>
      <c r="U174" s="1293"/>
      <c r="V174" s="1293"/>
      <c r="W174" s="1293"/>
      <c r="X174" s="1293"/>
      <c r="Y174" s="1293"/>
      <c r="Z174" s="1293"/>
      <c r="AA174" s="1293"/>
      <c r="AB174" s="1293"/>
      <c r="AC174" s="1293"/>
      <c r="AD174" s="1293"/>
      <c r="AE174" s="1293"/>
      <c r="AF174" s="1293"/>
      <c r="AG174" s="1293"/>
      <c r="AH174" s="1293"/>
      <c r="AI174" s="1293"/>
      <c r="AJ174" s="1293"/>
      <c r="AK174" s="1293"/>
      <c r="AL174" s="1293"/>
      <c r="AM174" s="1293"/>
      <c r="AN174" s="1293"/>
      <c r="AO174" s="1713"/>
      <c r="AP174" s="1203"/>
      <c r="AQ174" s="1203"/>
      <c r="AR174" s="1203"/>
      <c r="AS174" s="1203"/>
      <c r="AT174" s="1203"/>
      <c r="AU174" s="1203"/>
      <c r="AV174" s="1203"/>
      <c r="AW174" s="1203"/>
      <c r="AX174" s="1203"/>
      <c r="AY174" s="1203"/>
      <c r="AZ174" s="1203"/>
      <c r="BA174" s="1203"/>
      <c r="BB174" s="1203"/>
      <c r="BC174" s="1203"/>
      <c r="BD174" s="1203"/>
      <c r="BE174" s="1210"/>
    </row>
    <row r="175" spans="1:57" ht="15.75" customHeight="1" thickBot="1">
      <c r="A175" s="1203"/>
      <c r="B175" s="1203"/>
      <c r="C175" s="1767"/>
      <c r="D175" s="1709"/>
      <c r="E175" s="1709"/>
      <c r="F175" s="1709"/>
      <c r="G175" s="1709"/>
      <c r="H175" s="1718"/>
      <c r="I175" s="1846"/>
      <c r="J175" s="1709"/>
      <c r="K175" s="1709"/>
      <c r="L175" s="1709"/>
      <c r="M175" s="1709"/>
      <c r="N175" s="1718"/>
      <c r="O175" s="1203"/>
      <c r="P175" s="1714"/>
      <c r="Q175" s="1294"/>
      <c r="R175" s="1294"/>
      <c r="S175" s="1294"/>
      <c r="T175" s="1294"/>
      <c r="U175" s="1294"/>
      <c r="V175" s="1294"/>
      <c r="W175" s="1294"/>
      <c r="X175" s="1294"/>
      <c r="Y175" s="1294"/>
      <c r="Z175" s="1294"/>
      <c r="AA175" s="1294"/>
      <c r="AB175" s="1294"/>
      <c r="AC175" s="1294"/>
      <c r="AD175" s="1294"/>
      <c r="AE175" s="1294"/>
      <c r="AF175" s="1294"/>
      <c r="AG175" s="1294"/>
      <c r="AH175" s="1294"/>
      <c r="AI175" s="1294"/>
      <c r="AJ175" s="1294"/>
      <c r="AK175" s="1294"/>
      <c r="AL175" s="1294"/>
      <c r="AM175" s="1294"/>
      <c r="AN175" s="1294"/>
      <c r="AO175" s="1388"/>
      <c r="AP175" s="1203"/>
      <c r="AQ175" s="1203"/>
      <c r="AR175" s="1203"/>
      <c r="AS175" s="1203"/>
      <c r="AT175" s="1203"/>
      <c r="AU175" s="1203"/>
      <c r="AV175" s="1203"/>
      <c r="AW175" s="1203"/>
      <c r="AX175" s="1203"/>
      <c r="AY175" s="1203"/>
      <c r="AZ175" s="1203"/>
      <c r="BA175" s="1203"/>
      <c r="BB175" s="1203"/>
      <c r="BC175" s="1203"/>
      <c r="BD175" s="1203"/>
      <c r="BE175" s="1210"/>
    </row>
    <row r="176" spans="1:57" ht="15.75" customHeight="1" thickBot="1">
      <c r="A176" s="1203"/>
      <c r="B176" s="1203"/>
      <c r="C176" s="1203"/>
      <c r="D176" s="1203"/>
      <c r="E176" s="1203"/>
      <c r="F176" s="1203"/>
      <c r="G176" s="1203"/>
      <c r="H176" s="1203"/>
      <c r="I176" s="1203"/>
      <c r="J176" s="1203"/>
      <c r="K176" s="1203"/>
      <c r="L176" s="1203"/>
      <c r="M176" s="1203"/>
      <c r="N176" s="1203"/>
      <c r="O176" s="1203"/>
      <c r="P176" s="1203"/>
      <c r="Q176" s="1203"/>
      <c r="R176" s="1203"/>
      <c r="S176" s="1203"/>
      <c r="T176" s="1203"/>
      <c r="U176" s="1203"/>
      <c r="V176" s="1203"/>
      <c r="W176" s="1203"/>
      <c r="X176" s="1203"/>
      <c r="Y176" s="1203"/>
      <c r="Z176" s="1203"/>
      <c r="AA176" s="1203"/>
      <c r="AB176" s="1203"/>
      <c r="AC176" s="1203"/>
      <c r="AD176" s="1203"/>
      <c r="AE176" s="1203"/>
      <c r="AF176" s="1203"/>
      <c r="AG176" s="1203"/>
      <c r="AH176" s="1203"/>
      <c r="AI176" s="1203"/>
      <c r="AJ176" s="1203"/>
      <c r="AK176" s="1203"/>
      <c r="AL176" s="1203"/>
      <c r="AM176" s="1203"/>
      <c r="AN176" s="1203"/>
      <c r="AO176" s="1203"/>
      <c r="AP176" s="1203"/>
      <c r="AQ176" s="1203"/>
      <c r="AR176" s="1203"/>
      <c r="AS176" s="1203"/>
      <c r="AT176" s="1203"/>
      <c r="AU176" s="1203"/>
      <c r="AV176" s="1203"/>
      <c r="AW176" s="1203"/>
      <c r="AX176" s="1203"/>
      <c r="AY176" s="1203"/>
      <c r="AZ176" s="1203"/>
      <c r="BA176" s="1203"/>
      <c r="BB176" s="1203"/>
      <c r="BC176" s="1203"/>
      <c r="BD176" s="1203"/>
      <c r="BE176" s="1210"/>
    </row>
    <row r="177" spans="1:57" ht="15.75" customHeight="1">
      <c r="A177" s="1203"/>
      <c r="B177" s="1203"/>
      <c r="C177" s="1806" t="s">
        <v>2091</v>
      </c>
      <c r="D177" s="1743"/>
      <c r="E177" s="1743"/>
      <c r="F177" s="1743"/>
      <c r="G177" s="1743"/>
      <c r="H177" s="1743"/>
      <c r="I177" s="1743"/>
      <c r="J177" s="1743"/>
      <c r="K177" s="1743"/>
      <c r="L177" s="1743"/>
      <c r="M177" s="1743"/>
      <c r="N177" s="1743"/>
      <c r="O177" s="1743"/>
      <c r="P177" s="1743"/>
      <c r="Q177" s="1743"/>
      <c r="R177" s="1743"/>
      <c r="S177" s="1743"/>
      <c r="T177" s="1743"/>
      <c r="U177" s="1743"/>
      <c r="V177" s="1743"/>
      <c r="W177" s="1743"/>
      <c r="X177" s="1743"/>
      <c r="Y177" s="1743"/>
      <c r="Z177" s="1743"/>
      <c r="AA177" s="1743"/>
      <c r="AB177" s="1743"/>
      <c r="AC177" s="1743"/>
      <c r="AD177" s="1743"/>
      <c r="AE177" s="1744"/>
      <c r="AF177" s="1203"/>
      <c r="AG177" s="1203"/>
      <c r="AH177" s="1800"/>
      <c r="AI177" s="1702"/>
      <c r="AJ177" s="1702"/>
      <c r="AK177" s="1702"/>
      <c r="AL177" s="1702"/>
      <c r="AM177" s="1702"/>
      <c r="AN177" s="1702"/>
      <c r="AO177" s="1702"/>
      <c r="AP177" s="1702"/>
      <c r="AQ177" s="1702"/>
      <c r="AR177" s="1702"/>
      <c r="AS177" s="1702"/>
      <c r="AT177" s="1702"/>
      <c r="AU177" s="1702"/>
      <c r="AV177" s="1702"/>
      <c r="AW177" s="1702"/>
      <c r="AX177" s="1702"/>
      <c r="AY177" s="1702"/>
      <c r="AZ177" s="1702"/>
      <c r="BA177" s="1702"/>
      <c r="BB177" s="1702"/>
      <c r="BC177" s="1702"/>
      <c r="BD177" s="1702"/>
      <c r="BE177" s="1702"/>
    </row>
    <row r="178" spans="1:57" ht="15.75" customHeight="1" thickBot="1">
      <c r="A178" s="1203"/>
      <c r="B178" s="1203"/>
      <c r="C178" s="1807"/>
      <c r="D178" s="1688"/>
      <c r="E178" s="1688"/>
      <c r="F178" s="1688"/>
      <c r="G178" s="1688"/>
      <c r="H178" s="1688"/>
      <c r="I178" s="1688"/>
      <c r="J178" s="1688"/>
      <c r="K178" s="1688"/>
      <c r="L178" s="1688"/>
      <c r="M178" s="1688"/>
      <c r="N178" s="1688"/>
      <c r="O178" s="1688"/>
      <c r="P178" s="1688"/>
      <c r="Q178" s="1688"/>
      <c r="R178" s="1688"/>
      <c r="S178" s="1688"/>
      <c r="T178" s="1688"/>
      <c r="U178" s="1688"/>
      <c r="V178" s="1688"/>
      <c r="W178" s="1688"/>
      <c r="X178" s="1688"/>
      <c r="Y178" s="1688"/>
      <c r="Z178" s="1688"/>
      <c r="AA178" s="1688"/>
      <c r="AB178" s="1688"/>
      <c r="AC178" s="1688"/>
      <c r="AD178" s="1688"/>
      <c r="AE178" s="1808"/>
      <c r="AF178" s="1203"/>
      <c r="AG178" s="1203"/>
      <c r="AH178" s="1702"/>
      <c r="AI178" s="1702"/>
      <c r="AJ178" s="1702"/>
      <c r="AK178" s="1702"/>
      <c r="AL178" s="1702"/>
      <c r="AM178" s="1702"/>
      <c r="AN178" s="1702"/>
      <c r="AO178" s="1702"/>
      <c r="AP178" s="1702"/>
      <c r="AQ178" s="1702"/>
      <c r="AR178" s="1702"/>
      <c r="AS178" s="1702"/>
      <c r="AT178" s="1702"/>
      <c r="AU178" s="1702"/>
      <c r="AV178" s="1702"/>
      <c r="AW178" s="1702"/>
      <c r="AX178" s="1702"/>
      <c r="AY178" s="1702"/>
      <c r="AZ178" s="1702"/>
      <c r="BA178" s="1702"/>
      <c r="BB178" s="1702"/>
      <c r="BC178" s="1702"/>
      <c r="BD178" s="1702"/>
      <c r="BE178" s="1702"/>
    </row>
    <row r="179" spans="1:57" ht="15.75" customHeight="1">
      <c r="A179" s="1203"/>
      <c r="B179" s="1203"/>
      <c r="C179" s="1733" t="s">
        <v>2079</v>
      </c>
      <c r="D179" s="1288"/>
      <c r="E179" s="1288"/>
      <c r="F179" s="1288"/>
      <c r="G179" s="1288"/>
      <c r="H179" s="1288"/>
      <c r="I179" s="1288"/>
      <c r="J179" s="1288"/>
      <c r="K179" s="1288"/>
      <c r="L179" s="1288"/>
      <c r="M179" s="1272"/>
      <c r="N179" s="1900" t="s">
        <v>2092</v>
      </c>
      <c r="O179" s="1288"/>
      <c r="P179" s="1288"/>
      <c r="Q179" s="1288"/>
      <c r="R179" s="1288"/>
      <c r="S179" s="1288"/>
      <c r="T179" s="1272"/>
      <c r="U179" s="1865" t="s">
        <v>2079</v>
      </c>
      <c r="V179" s="1288"/>
      <c r="W179" s="1288"/>
      <c r="X179" s="1288"/>
      <c r="Y179" s="1288"/>
      <c r="Z179" s="1288"/>
      <c r="AA179" s="1288"/>
      <c r="AB179" s="1288"/>
      <c r="AC179" s="1288"/>
      <c r="AD179" s="1288"/>
      <c r="AE179" s="1272"/>
      <c r="AF179" s="1203"/>
      <c r="AG179" s="1203"/>
      <c r="AH179" s="1702"/>
      <c r="AI179" s="1702"/>
      <c r="AJ179" s="1702"/>
      <c r="AK179" s="1702"/>
      <c r="AL179" s="1702"/>
      <c r="AM179" s="1702"/>
      <c r="AN179" s="1702"/>
      <c r="AO179" s="1702"/>
      <c r="AP179" s="1702"/>
      <c r="AQ179" s="1702"/>
      <c r="AR179" s="1702"/>
      <c r="AS179" s="1702"/>
      <c r="AT179" s="1702"/>
      <c r="AU179" s="1702"/>
      <c r="AV179" s="1702"/>
      <c r="AW179" s="1702"/>
      <c r="AX179" s="1702"/>
      <c r="AY179" s="1702"/>
      <c r="AZ179" s="1702"/>
      <c r="BA179" s="1702"/>
      <c r="BB179" s="1702"/>
      <c r="BC179" s="1702"/>
      <c r="BD179" s="1702"/>
      <c r="BE179" s="1702"/>
    </row>
    <row r="180" spans="1:57" ht="15.75" customHeight="1">
      <c r="A180" s="1203"/>
      <c r="B180" s="1203"/>
      <c r="C180" s="1765" t="s">
        <v>2093</v>
      </c>
      <c r="D180" s="1263"/>
      <c r="E180" s="1263"/>
      <c r="F180" s="1263"/>
      <c r="G180" s="1263"/>
      <c r="H180" s="1263"/>
      <c r="I180" s="1263"/>
      <c r="J180" s="1263"/>
      <c r="K180" s="1263"/>
      <c r="L180" s="1263"/>
      <c r="M180" s="1264"/>
      <c r="N180" s="1837">
        <f>'Sources and Uses Budget'!B105</f>
        <v>30975182</v>
      </c>
      <c r="O180" s="1263"/>
      <c r="P180" s="1263"/>
      <c r="Q180" s="1263"/>
      <c r="R180" s="1263"/>
      <c r="S180" s="1263"/>
      <c r="T180" s="1264"/>
      <c r="U180" s="1887"/>
      <c r="V180" s="1263"/>
      <c r="W180" s="1263"/>
      <c r="X180" s="1263"/>
      <c r="Y180" s="1263"/>
      <c r="Z180" s="1263"/>
      <c r="AA180" s="1263"/>
      <c r="AB180" s="1263"/>
      <c r="AC180" s="1263"/>
      <c r="AD180" s="1263"/>
      <c r="AE180" s="1264"/>
      <c r="AF180" s="1203"/>
      <c r="AG180" s="1203"/>
      <c r="AH180" s="1702"/>
      <c r="AI180" s="1702"/>
      <c r="AJ180" s="1702"/>
      <c r="AK180" s="1702"/>
      <c r="AL180" s="1702"/>
      <c r="AM180" s="1702"/>
      <c r="AN180" s="1702"/>
      <c r="AO180" s="1702"/>
      <c r="AP180" s="1702"/>
      <c r="AQ180" s="1702"/>
      <c r="AR180" s="1702"/>
      <c r="AS180" s="1702"/>
      <c r="AT180" s="1702"/>
      <c r="AU180" s="1702"/>
      <c r="AV180" s="1702"/>
      <c r="AW180" s="1702"/>
      <c r="AX180" s="1702"/>
      <c r="AY180" s="1702"/>
      <c r="AZ180" s="1702"/>
      <c r="BA180" s="1702"/>
      <c r="BB180" s="1702"/>
      <c r="BC180" s="1702"/>
      <c r="BD180" s="1702"/>
      <c r="BE180" s="1702"/>
    </row>
    <row r="181" spans="1:57" ht="15.75" customHeight="1">
      <c r="A181" s="1203"/>
      <c r="B181" s="1203"/>
      <c r="C181" s="1765" t="s">
        <v>2094</v>
      </c>
      <c r="D181" s="1263"/>
      <c r="E181" s="1263"/>
      <c r="F181" s="1263"/>
      <c r="G181" s="1263"/>
      <c r="H181" s="1263"/>
      <c r="I181" s="1263"/>
      <c r="J181" s="1263"/>
      <c r="K181" s="1263"/>
      <c r="L181" s="1263"/>
      <c r="M181" s="1264"/>
      <c r="N181" s="1837">
        <f>N180/J29</f>
        <v>525003.08474576275</v>
      </c>
      <c r="O181" s="1263"/>
      <c r="P181" s="1263"/>
      <c r="Q181" s="1263"/>
      <c r="R181" s="1263"/>
      <c r="S181" s="1263"/>
      <c r="T181" s="1264"/>
      <c r="U181" s="1243"/>
      <c r="V181" s="1243"/>
      <c r="W181" s="1243"/>
      <c r="X181" s="1243"/>
      <c r="Y181" s="1243"/>
      <c r="Z181" s="1243"/>
      <c r="AA181" s="1243"/>
      <c r="AB181" s="1243"/>
      <c r="AC181" s="1243"/>
      <c r="AD181" s="1243"/>
      <c r="AE181" s="1244"/>
      <c r="AF181" s="1203"/>
      <c r="AG181" s="1203"/>
      <c r="AH181" s="1702"/>
      <c r="AI181" s="1702"/>
      <c r="AJ181" s="1702"/>
      <c r="AK181" s="1702"/>
      <c r="AL181" s="1702"/>
      <c r="AM181" s="1702"/>
      <c r="AN181" s="1702"/>
      <c r="AO181" s="1702"/>
      <c r="AP181" s="1702"/>
      <c r="AQ181" s="1702"/>
      <c r="AR181" s="1702"/>
      <c r="AS181" s="1702"/>
      <c r="AT181" s="1702"/>
      <c r="AU181" s="1702"/>
      <c r="AV181" s="1702"/>
      <c r="AW181" s="1702"/>
      <c r="AX181" s="1702"/>
      <c r="AY181" s="1702"/>
      <c r="AZ181" s="1702"/>
      <c r="BA181" s="1702"/>
      <c r="BB181" s="1702"/>
      <c r="BC181" s="1702"/>
      <c r="BD181" s="1702"/>
      <c r="BE181" s="1702"/>
    </row>
    <row r="182" spans="1:57" ht="15.75" customHeight="1">
      <c r="A182" s="1203"/>
      <c r="B182" s="1203"/>
      <c r="C182" s="1860" t="s">
        <v>2095</v>
      </c>
      <c r="D182" s="1263"/>
      <c r="E182" s="1263"/>
      <c r="F182" s="1263"/>
      <c r="G182" s="1263"/>
      <c r="H182" s="1263"/>
      <c r="I182" s="1263"/>
      <c r="J182" s="1263"/>
      <c r="K182" s="1263"/>
      <c r="L182" s="1263"/>
      <c r="M182" s="1264"/>
      <c r="N182" s="1686">
        <v>0</v>
      </c>
      <c r="O182" s="1374"/>
      <c r="P182" s="1374"/>
      <c r="Q182" s="1374"/>
      <c r="R182" s="1374"/>
      <c r="S182" s="1374"/>
      <c r="T182" s="1375"/>
      <c r="U182" s="1802"/>
      <c r="V182" s="1374"/>
      <c r="W182" s="1374"/>
      <c r="X182" s="1374"/>
      <c r="Y182" s="1374"/>
      <c r="Z182" s="1374"/>
      <c r="AA182" s="1374"/>
      <c r="AB182" s="1374"/>
      <c r="AC182" s="1374"/>
      <c r="AD182" s="1374"/>
      <c r="AE182" s="1375"/>
      <c r="AF182" s="1203"/>
      <c r="AG182" s="1203"/>
      <c r="AH182" s="1702"/>
      <c r="AI182" s="1702"/>
      <c r="AJ182" s="1702"/>
      <c r="AK182" s="1702"/>
      <c r="AL182" s="1702"/>
      <c r="AM182" s="1702"/>
      <c r="AN182" s="1702"/>
      <c r="AO182" s="1702"/>
      <c r="AP182" s="1702"/>
      <c r="AQ182" s="1702"/>
      <c r="AR182" s="1702"/>
      <c r="AS182" s="1702"/>
      <c r="AT182" s="1702"/>
      <c r="AU182" s="1702"/>
      <c r="AV182" s="1702"/>
      <c r="AW182" s="1702"/>
      <c r="AX182" s="1702"/>
      <c r="AY182" s="1702"/>
      <c r="AZ182" s="1702"/>
      <c r="BA182" s="1702"/>
      <c r="BB182" s="1702"/>
      <c r="BC182" s="1702"/>
      <c r="BD182" s="1702"/>
      <c r="BE182" s="1702"/>
    </row>
    <row r="183" spans="1:57" ht="15.75" customHeight="1" thickBot="1">
      <c r="A183" s="1203"/>
      <c r="B183" s="1203"/>
      <c r="C183" s="1765" t="s">
        <v>2096</v>
      </c>
      <c r="D183" s="1263"/>
      <c r="E183" s="1263"/>
      <c r="F183" s="1263"/>
      <c r="G183" s="1263"/>
      <c r="H183" s="1263"/>
      <c r="I183" s="1263"/>
      <c r="J183" s="1263"/>
      <c r="K183" s="1263"/>
      <c r="L183" s="1263"/>
      <c r="M183" s="1264"/>
      <c r="N183" s="1731">
        <f>SUM('Sources and Uses Budget'!B85:B86)</f>
        <v>100000</v>
      </c>
      <c r="O183" s="1374"/>
      <c r="P183" s="1374"/>
      <c r="Q183" s="1374"/>
      <c r="R183" s="1374"/>
      <c r="S183" s="1374"/>
      <c r="T183" s="1375"/>
      <c r="U183" s="1802"/>
      <c r="V183" s="1374"/>
      <c r="W183" s="1374"/>
      <c r="X183" s="1374"/>
      <c r="Y183" s="1374"/>
      <c r="Z183" s="1374"/>
      <c r="AA183" s="1374"/>
      <c r="AB183" s="1374"/>
      <c r="AC183" s="1374"/>
      <c r="AD183" s="1374"/>
      <c r="AE183" s="1375"/>
      <c r="AF183" s="1203"/>
      <c r="AG183" s="1203"/>
      <c r="AH183" s="1702"/>
      <c r="AI183" s="1702"/>
      <c r="AJ183" s="1702"/>
      <c r="AK183" s="1702"/>
      <c r="AL183" s="1702"/>
      <c r="AM183" s="1702"/>
      <c r="AN183" s="1702"/>
      <c r="AO183" s="1702"/>
      <c r="AP183" s="1702"/>
      <c r="AQ183" s="1702"/>
      <c r="AR183" s="1702"/>
      <c r="AS183" s="1702"/>
      <c r="AT183" s="1702"/>
      <c r="AU183" s="1702"/>
      <c r="AV183" s="1702"/>
      <c r="AW183" s="1702"/>
      <c r="AX183" s="1702"/>
      <c r="AY183" s="1702"/>
      <c r="AZ183" s="1702"/>
      <c r="BA183" s="1702"/>
      <c r="BB183" s="1702"/>
      <c r="BC183" s="1702"/>
      <c r="BD183" s="1702"/>
      <c r="BE183" s="1702"/>
    </row>
    <row r="184" spans="1:57" ht="15.75" customHeight="1" thickBot="1">
      <c r="A184" s="1203"/>
      <c r="B184" s="1203"/>
      <c r="C184" s="1765" t="s">
        <v>2097</v>
      </c>
      <c r="D184" s="1263"/>
      <c r="E184" s="1263"/>
      <c r="F184" s="1263"/>
      <c r="G184" s="1263"/>
      <c r="H184" s="1263"/>
      <c r="I184" s="1263"/>
      <c r="J184" s="1263"/>
      <c r="K184" s="1263"/>
      <c r="L184" s="1263"/>
      <c r="M184" s="1264"/>
      <c r="N184" s="1731">
        <f>'Sources and Uses Budget'!B8</f>
        <v>1313644</v>
      </c>
      <c r="O184" s="1374"/>
      <c r="P184" s="1374"/>
      <c r="Q184" s="1374"/>
      <c r="R184" s="1374"/>
      <c r="S184" s="1374"/>
      <c r="T184" s="1375"/>
      <c r="U184" s="1802"/>
      <c r="V184" s="1374"/>
      <c r="W184" s="1374"/>
      <c r="X184" s="1374"/>
      <c r="Y184" s="1374"/>
      <c r="Z184" s="1374"/>
      <c r="AA184" s="1374"/>
      <c r="AB184" s="1374"/>
      <c r="AC184" s="1374"/>
      <c r="AD184" s="1374"/>
      <c r="AE184" s="1375"/>
      <c r="AF184" s="1203"/>
      <c r="AG184" s="1203"/>
      <c r="AH184" s="1828" t="s">
        <v>1513</v>
      </c>
      <c r="AI184" s="1829"/>
      <c r="AJ184" s="1829"/>
      <c r="AK184" s="1829"/>
      <c r="AL184" s="1829"/>
      <c r="AM184" s="1829"/>
      <c r="AN184" s="1829"/>
      <c r="AO184" s="1829"/>
      <c r="AP184" s="1829"/>
      <c r="AQ184" s="1829"/>
      <c r="AR184" s="1829"/>
      <c r="AS184" s="1829"/>
      <c r="AT184" s="1829"/>
      <c r="AU184" s="1829"/>
      <c r="AV184" s="1829"/>
      <c r="AW184" s="1829"/>
      <c r="AX184" s="1829"/>
      <c r="AY184" s="1829"/>
      <c r="AZ184" s="1829"/>
      <c r="BA184" s="1829"/>
      <c r="BB184" s="1829"/>
      <c r="BC184" s="1829"/>
      <c r="BD184" s="1829"/>
      <c r="BE184" s="1830"/>
    </row>
    <row r="185" spans="1:57" ht="15.75" customHeight="1">
      <c r="A185" s="1203"/>
      <c r="B185" s="1203"/>
      <c r="C185" s="1765" t="s">
        <v>2098</v>
      </c>
      <c r="D185" s="1263"/>
      <c r="E185" s="1263"/>
      <c r="F185" s="1263"/>
      <c r="G185" s="1263"/>
      <c r="H185" s="1263"/>
      <c r="I185" s="1263"/>
      <c r="J185" s="1263"/>
      <c r="K185" s="1263"/>
      <c r="L185" s="1263"/>
      <c r="M185" s="1264"/>
      <c r="N185" s="1794">
        <v>0</v>
      </c>
      <c r="O185" s="1374"/>
      <c r="P185" s="1374"/>
      <c r="Q185" s="1374"/>
      <c r="R185" s="1374"/>
      <c r="S185" s="1374"/>
      <c r="T185" s="1375"/>
      <c r="U185" s="1802"/>
      <c r="V185" s="1374"/>
      <c r="W185" s="1374"/>
      <c r="X185" s="1374"/>
      <c r="Y185" s="1374"/>
      <c r="Z185" s="1374"/>
      <c r="AA185" s="1374"/>
      <c r="AB185" s="1374"/>
      <c r="AC185" s="1374"/>
      <c r="AD185" s="1374"/>
      <c r="AE185" s="1375"/>
      <c r="AF185" s="1203"/>
      <c r="AG185" s="1203"/>
      <c r="AH185" s="1898" t="s">
        <v>1513</v>
      </c>
      <c r="AI185" s="1740"/>
      <c r="AJ185" s="1740"/>
      <c r="AK185" s="1740"/>
      <c r="AL185" s="1740"/>
      <c r="AM185" s="1740"/>
      <c r="AN185" s="1740"/>
      <c r="AO185" s="1740"/>
      <c r="AP185" s="1740"/>
      <c r="AQ185" s="1740"/>
      <c r="AR185" s="1740"/>
      <c r="AS185" s="1740"/>
      <c r="AT185" s="1741"/>
      <c r="AU185" s="1867">
        <v>0</v>
      </c>
      <c r="AV185" s="1294"/>
      <c r="AW185" s="1294"/>
      <c r="AX185" s="1294"/>
      <c r="AY185" s="1294"/>
      <c r="AZ185" s="1294"/>
      <c r="BA185" s="1294"/>
      <c r="BB185" s="1388"/>
      <c r="BC185" s="1920"/>
      <c r="BD185" s="1405"/>
      <c r="BE185" s="1704"/>
    </row>
    <row r="186" spans="1:57" ht="15.75" customHeight="1">
      <c r="A186" s="1203"/>
      <c r="B186" s="1203"/>
      <c r="C186" s="1765" t="s">
        <v>2099</v>
      </c>
      <c r="D186" s="1263"/>
      <c r="E186" s="1263"/>
      <c r="F186" s="1263"/>
      <c r="G186" s="1263"/>
      <c r="H186" s="1263"/>
      <c r="I186" s="1263"/>
      <c r="J186" s="1263"/>
      <c r="K186" s="1263"/>
      <c r="L186" s="1263"/>
      <c r="M186" s="1264"/>
      <c r="N186" s="1794">
        <v>0</v>
      </c>
      <c r="O186" s="1374"/>
      <c r="P186" s="1374"/>
      <c r="Q186" s="1374"/>
      <c r="R186" s="1374"/>
      <c r="S186" s="1374"/>
      <c r="T186" s="1375"/>
      <c r="U186" s="1802"/>
      <c r="V186" s="1374"/>
      <c r="W186" s="1374"/>
      <c r="X186" s="1374"/>
      <c r="Y186" s="1374"/>
      <c r="Z186" s="1374"/>
      <c r="AA186" s="1374"/>
      <c r="AB186" s="1374"/>
      <c r="AC186" s="1374"/>
      <c r="AD186" s="1374"/>
      <c r="AE186" s="1375"/>
      <c r="AF186" s="1203"/>
      <c r="AG186" s="1203"/>
      <c r="AH186" s="1917" t="s">
        <v>2100</v>
      </c>
      <c r="AI186" s="1785"/>
      <c r="AJ186" s="1785"/>
      <c r="AK186" s="1785"/>
      <c r="AL186" s="1785"/>
      <c r="AM186" s="1785"/>
      <c r="AN186" s="1785"/>
      <c r="AO186" s="1785"/>
      <c r="AP186" s="1785"/>
      <c r="AQ186" s="1785"/>
      <c r="AR186" s="1785"/>
      <c r="AS186" s="1785"/>
      <c r="AT186" s="1786"/>
      <c r="AU186" s="1843"/>
      <c r="AV186" s="1374"/>
      <c r="AW186" s="1374"/>
      <c r="AX186" s="1374"/>
      <c r="AY186" s="1374"/>
      <c r="AZ186" s="1374"/>
      <c r="BA186" s="1374"/>
      <c r="BB186" s="1375"/>
      <c r="BC186" s="1913"/>
      <c r="BD186" s="1263"/>
      <c r="BE186" s="1268"/>
    </row>
    <row r="187" spans="1:57" ht="15.75" customHeight="1">
      <c r="A187" s="1203"/>
      <c r="B187" s="1203"/>
      <c r="C187" s="1836" t="s">
        <v>1168</v>
      </c>
      <c r="D187" s="1375"/>
      <c r="E187" s="1764" t="s">
        <v>2086</v>
      </c>
      <c r="F187" s="1374"/>
      <c r="G187" s="1374"/>
      <c r="H187" s="1374"/>
      <c r="I187" s="1374"/>
      <c r="J187" s="1374"/>
      <c r="K187" s="1374"/>
      <c r="L187" s="1374"/>
      <c r="M187" s="1375"/>
      <c r="N187" s="1794">
        <v>0</v>
      </c>
      <c r="O187" s="1374"/>
      <c r="P187" s="1374"/>
      <c r="Q187" s="1374"/>
      <c r="R187" s="1374"/>
      <c r="S187" s="1374"/>
      <c r="T187" s="1375"/>
      <c r="U187" s="1802"/>
      <c r="V187" s="1374"/>
      <c r="W187" s="1374"/>
      <c r="X187" s="1374"/>
      <c r="Y187" s="1374"/>
      <c r="Z187" s="1374"/>
      <c r="AA187" s="1374"/>
      <c r="AB187" s="1374"/>
      <c r="AC187" s="1374"/>
      <c r="AD187" s="1374"/>
      <c r="AE187" s="1375"/>
      <c r="AF187" s="1203"/>
      <c r="AG187" s="1203"/>
      <c r="AH187" s="1882" t="s">
        <v>2101</v>
      </c>
      <c r="AI187" s="1785"/>
      <c r="AJ187" s="1785"/>
      <c r="AK187" s="1785"/>
      <c r="AL187" s="1785"/>
      <c r="AM187" s="1785"/>
      <c r="AN187" s="1785"/>
      <c r="AO187" s="1785"/>
      <c r="AP187" s="1785"/>
      <c r="AQ187" s="1785"/>
      <c r="AR187" s="1785"/>
      <c r="AS187" s="1785"/>
      <c r="AT187" s="1786"/>
      <c r="AU187" s="1901">
        <f>SUM(AU185:BB186)</f>
        <v>0</v>
      </c>
      <c r="AV187" s="1785"/>
      <c r="AW187" s="1785"/>
      <c r="AX187" s="1785"/>
      <c r="AY187" s="1785"/>
      <c r="AZ187" s="1785"/>
      <c r="BA187" s="1785"/>
      <c r="BB187" s="1786"/>
      <c r="BC187" s="1913"/>
      <c r="BD187" s="1263"/>
      <c r="BE187" s="1268"/>
    </row>
    <row r="188" spans="1:57" ht="15.75" customHeight="1" thickBot="1">
      <c r="A188" s="1203"/>
      <c r="B188" s="1203"/>
      <c r="C188" s="1715" t="s">
        <v>1168</v>
      </c>
      <c r="D188" s="1375"/>
      <c r="E188" s="1764" t="s">
        <v>2086</v>
      </c>
      <c r="F188" s="1374"/>
      <c r="G188" s="1374"/>
      <c r="H188" s="1374"/>
      <c r="I188" s="1374"/>
      <c r="J188" s="1374"/>
      <c r="K188" s="1374"/>
      <c r="L188" s="1374"/>
      <c r="M188" s="1375"/>
      <c r="N188" s="1794">
        <v>0</v>
      </c>
      <c r="O188" s="1374"/>
      <c r="P188" s="1374"/>
      <c r="Q188" s="1374"/>
      <c r="R188" s="1374"/>
      <c r="S188" s="1374"/>
      <c r="T188" s="1375"/>
      <c r="U188" s="1802"/>
      <c r="V188" s="1374"/>
      <c r="W188" s="1374"/>
      <c r="X188" s="1374"/>
      <c r="Y188" s="1374"/>
      <c r="Z188" s="1374"/>
      <c r="AA188" s="1374"/>
      <c r="AB188" s="1374"/>
      <c r="AC188" s="1374"/>
      <c r="AD188" s="1374"/>
      <c r="AE188" s="1375"/>
      <c r="AF188" s="1203"/>
      <c r="AG188" s="1203"/>
      <c r="AH188" s="1245"/>
      <c r="AI188" s="1246"/>
      <c r="AJ188" s="1246"/>
      <c r="AK188" s="1246"/>
      <c r="AL188" s="1246"/>
      <c r="AM188" s="1246"/>
      <c r="AN188" s="1246"/>
      <c r="AO188" s="1246"/>
      <c r="AP188" s="1246"/>
      <c r="AQ188" s="1246"/>
      <c r="AR188" s="1246"/>
      <c r="AS188" s="1246"/>
      <c r="AT188" s="1246"/>
      <c r="AU188" s="1246"/>
      <c r="AV188" s="1246"/>
      <c r="AW188" s="1246"/>
      <c r="AX188" s="1246"/>
      <c r="AY188" s="1246"/>
      <c r="AZ188" s="1246"/>
      <c r="BA188" s="1246"/>
      <c r="BB188" s="1246"/>
      <c r="BC188" s="1895"/>
      <c r="BD188" s="1417"/>
      <c r="BE188" s="1896"/>
    </row>
    <row r="189" spans="1:57" ht="15.75" customHeight="1" thickBot="1">
      <c r="A189" s="1203"/>
      <c r="B189" s="1203"/>
      <c r="C189" s="1839" t="s">
        <v>1168</v>
      </c>
      <c r="D189" s="1709"/>
      <c r="E189" s="1872" t="s">
        <v>2086</v>
      </c>
      <c r="F189" s="1709"/>
      <c r="G189" s="1709"/>
      <c r="H189" s="1709"/>
      <c r="I189" s="1709"/>
      <c r="J189" s="1709"/>
      <c r="K189" s="1709"/>
      <c r="L189" s="1709"/>
      <c r="M189" s="1718"/>
      <c r="N189" s="1708">
        <v>0</v>
      </c>
      <c r="O189" s="1709"/>
      <c r="P189" s="1709"/>
      <c r="Q189" s="1709"/>
      <c r="R189" s="1709"/>
      <c r="S189" s="1709"/>
      <c r="T189" s="1710"/>
      <c r="U189" s="1928"/>
      <c r="V189" s="1709"/>
      <c r="W189" s="1709"/>
      <c r="X189" s="1709"/>
      <c r="Y189" s="1709"/>
      <c r="Z189" s="1709"/>
      <c r="AA189" s="1709"/>
      <c r="AB189" s="1709"/>
      <c r="AC189" s="1709"/>
      <c r="AD189" s="1709"/>
      <c r="AE189" s="1710"/>
      <c r="AF189" s="1203"/>
      <c r="AG189" s="1203"/>
      <c r="AH189" s="1910" t="s">
        <v>2102</v>
      </c>
      <c r="AI189" s="1746"/>
      <c r="AJ189" s="1746"/>
      <c r="AK189" s="1746"/>
      <c r="AL189" s="1746"/>
      <c r="AM189" s="1746"/>
      <c r="AN189" s="1746"/>
      <c r="AO189" s="1746"/>
      <c r="AP189" s="1746"/>
      <c r="AQ189" s="1746"/>
      <c r="AR189" s="1746"/>
      <c r="AS189" s="1746"/>
      <c r="AT189" s="1746"/>
      <c r="AU189" s="1893"/>
      <c r="AV189" s="1797"/>
      <c r="AW189" s="1797"/>
      <c r="AX189" s="1797"/>
      <c r="AY189" s="1797"/>
      <c r="AZ189" s="1797"/>
      <c r="BA189" s="1797"/>
      <c r="BB189" s="1894"/>
      <c r="BC189" s="1161"/>
      <c r="BD189" s="1161"/>
      <c r="BE189" s="1247"/>
    </row>
    <row r="190" spans="1:57" ht="15.75" customHeight="1">
      <c r="A190" s="1203"/>
      <c r="B190" s="1203"/>
      <c r="C190" s="1864" t="s">
        <v>2103</v>
      </c>
      <c r="D190" s="1288"/>
      <c r="E190" s="1288"/>
      <c r="F190" s="1288"/>
      <c r="G190" s="1288"/>
      <c r="H190" s="1288"/>
      <c r="I190" s="1288"/>
      <c r="J190" s="1288"/>
      <c r="K190" s="1288"/>
      <c r="L190" s="1288"/>
      <c r="M190" s="1272"/>
      <c r="N190" s="1925">
        <f>SUM(N182:T189)</f>
        <v>1413644</v>
      </c>
      <c r="O190" s="1288"/>
      <c r="P190" s="1288"/>
      <c r="Q190" s="1288"/>
      <c r="R190" s="1288"/>
      <c r="S190" s="1288"/>
      <c r="T190" s="1272"/>
      <c r="U190" s="1203"/>
      <c r="V190" s="1203"/>
      <c r="W190" s="1203"/>
      <c r="X190" s="1203"/>
      <c r="Y190" s="1203"/>
      <c r="Z190" s="1203"/>
      <c r="AA190" s="1203"/>
      <c r="AB190" s="1203"/>
      <c r="AC190" s="1203"/>
      <c r="AD190" s="1203"/>
      <c r="AE190" s="1203"/>
      <c r="AF190" s="1203"/>
      <c r="AG190" s="1203"/>
      <c r="AH190" s="1820" t="s">
        <v>2104</v>
      </c>
      <c r="AI190" s="1702"/>
      <c r="AJ190" s="1702"/>
      <c r="AK190" s="1702"/>
      <c r="AL190" s="1702"/>
      <c r="AM190" s="1702"/>
      <c r="AN190" s="1702"/>
      <c r="AO190" s="1702"/>
      <c r="AP190" s="1702"/>
      <c r="AQ190" s="1702"/>
      <c r="AR190" s="1702"/>
      <c r="AS190" s="1702"/>
      <c r="AT190" s="1702"/>
      <c r="AU190" s="1702"/>
      <c r="AV190" s="1702"/>
      <c r="AW190" s="1702"/>
      <c r="AX190" s="1702"/>
      <c r="AY190" s="1702"/>
      <c r="AZ190" s="1702"/>
      <c r="BA190" s="1702"/>
      <c r="BB190" s="1702"/>
      <c r="BC190" s="1702"/>
      <c r="BD190" s="1702"/>
      <c r="BE190" s="1793"/>
    </row>
    <row r="191" spans="1:57" ht="15.75" customHeight="1" thickBot="1">
      <c r="A191" s="1203"/>
      <c r="B191" s="1203"/>
      <c r="C191" s="1735" t="s">
        <v>2105</v>
      </c>
      <c r="D191" s="1685"/>
      <c r="E191" s="1685"/>
      <c r="F191" s="1685"/>
      <c r="G191" s="1685"/>
      <c r="H191" s="1685"/>
      <c r="I191" s="1685"/>
      <c r="J191" s="1685"/>
      <c r="K191" s="1685"/>
      <c r="L191" s="1685"/>
      <c r="M191" s="1279"/>
      <c r="N191" s="1892">
        <f>(N180-N190)/J29</f>
        <v>501043.01694915252</v>
      </c>
      <c r="O191" s="1685"/>
      <c r="P191" s="1685"/>
      <c r="Q191" s="1685"/>
      <c r="R191" s="1685"/>
      <c r="S191" s="1685"/>
      <c r="T191" s="1279"/>
      <c r="U191" s="1211"/>
      <c r="V191" s="1203"/>
      <c r="W191" s="1203"/>
      <c r="X191" s="1203"/>
      <c r="Y191" s="1203"/>
      <c r="Z191" s="1203"/>
      <c r="AA191" s="1203"/>
      <c r="AB191" s="1203"/>
      <c r="AC191" s="1203"/>
      <c r="AD191" s="1203"/>
      <c r="AE191" s="1203"/>
      <c r="AF191" s="1203"/>
      <c r="AG191" s="1203"/>
      <c r="AH191" s="1807"/>
      <c r="AI191" s="1688"/>
      <c r="AJ191" s="1688"/>
      <c r="AK191" s="1688"/>
      <c r="AL191" s="1688"/>
      <c r="AM191" s="1688"/>
      <c r="AN191" s="1688"/>
      <c r="AO191" s="1688"/>
      <c r="AP191" s="1688"/>
      <c r="AQ191" s="1688"/>
      <c r="AR191" s="1688"/>
      <c r="AS191" s="1688"/>
      <c r="AT191" s="1688"/>
      <c r="AU191" s="1688"/>
      <c r="AV191" s="1688"/>
      <c r="AW191" s="1688"/>
      <c r="AX191" s="1688"/>
      <c r="AY191" s="1688"/>
      <c r="AZ191" s="1688"/>
      <c r="BA191" s="1688"/>
      <c r="BB191" s="1688"/>
      <c r="BC191" s="1688"/>
      <c r="BD191" s="1688"/>
      <c r="BE191" s="1808"/>
    </row>
    <row r="192" spans="1:57" ht="15.75" customHeight="1">
      <c r="A192" s="1203"/>
      <c r="B192" s="1203"/>
      <c r="C192" s="1203"/>
      <c r="D192" s="1203"/>
      <c r="E192" s="1203"/>
      <c r="F192" s="1203"/>
      <c r="G192" s="1203"/>
      <c r="H192" s="1203"/>
      <c r="I192" s="1203"/>
      <c r="J192" s="1203"/>
      <c r="K192" s="1203"/>
      <c r="L192" s="1203"/>
      <c r="M192" s="1203"/>
      <c r="N192" s="1203"/>
      <c r="O192" s="1203"/>
      <c r="P192" s="1203"/>
      <c r="Q192" s="1203"/>
      <c r="R192" s="1203"/>
      <c r="S192" s="1203"/>
      <c r="T192" s="1203"/>
      <c r="U192" s="1203"/>
      <c r="V192" s="1203"/>
      <c r="W192" s="1203"/>
      <c r="X192" s="1203"/>
      <c r="Y192" s="1203"/>
      <c r="Z192" s="1203"/>
      <c r="AA192" s="1203"/>
      <c r="AB192" s="1203"/>
      <c r="AC192" s="1203"/>
      <c r="AD192" s="1203"/>
      <c r="AE192" s="1203"/>
      <c r="AF192" s="1203"/>
      <c r="AG192" s="1203"/>
      <c r="AH192" s="1924"/>
      <c r="AI192" s="1702"/>
      <c r="AJ192" s="1702"/>
      <c r="AK192" s="1702"/>
      <c r="AL192" s="1702"/>
      <c r="AM192" s="1702"/>
      <c r="AN192" s="1702"/>
      <c r="AO192" s="1702"/>
      <c r="AP192" s="1702"/>
      <c r="AQ192" s="1702"/>
      <c r="AR192" s="1702"/>
      <c r="AS192" s="1789"/>
      <c r="AT192" s="1293"/>
      <c r="AU192" s="1293"/>
      <c r="AV192" s="1293"/>
      <c r="AW192" s="1293"/>
      <c r="AX192" s="1293"/>
      <c r="AY192" s="1789"/>
      <c r="AZ192" s="1293"/>
      <c r="BA192" s="1293"/>
      <c r="BB192" s="1293"/>
      <c r="BC192" s="1293"/>
      <c r="BD192" s="1293"/>
      <c r="BE192" s="1210"/>
    </row>
    <row r="193" spans="1:57" ht="15.75" customHeight="1" thickBot="1">
      <c r="A193" s="1203"/>
      <c r="B193" s="1203"/>
      <c r="C193" s="1203"/>
      <c r="D193" s="1203"/>
      <c r="E193" s="1203"/>
      <c r="F193" s="1203"/>
      <c r="G193" s="1203"/>
      <c r="H193" s="1203"/>
      <c r="I193" s="1203"/>
      <c r="J193" s="1203"/>
      <c r="K193" s="1203"/>
      <c r="L193" s="1203"/>
      <c r="M193" s="1203"/>
      <c r="N193" s="1203"/>
      <c r="O193" s="1203"/>
      <c r="P193" s="1203"/>
      <c r="Q193" s="1203"/>
      <c r="R193" s="1203"/>
      <c r="S193" s="1203"/>
      <c r="T193" s="1203"/>
      <c r="U193" s="1203"/>
      <c r="V193" s="1203"/>
      <c r="W193" s="1203"/>
      <c r="X193" s="1203"/>
      <c r="Y193" s="1203"/>
      <c r="Z193" s="1203"/>
      <c r="AA193" s="1203"/>
      <c r="AB193" s="1203"/>
      <c r="AC193" s="1203"/>
      <c r="AD193" s="1203"/>
      <c r="AE193" s="1203"/>
      <c r="AF193" s="1203"/>
      <c r="AG193" s="1203"/>
      <c r="AH193" s="1203"/>
      <c r="AI193" s="1203"/>
      <c r="AJ193" s="1203"/>
      <c r="AK193" s="1203"/>
      <c r="AL193" s="1203"/>
      <c r="AM193" s="1203"/>
      <c r="AN193" s="1203"/>
      <c r="AO193" s="1203"/>
      <c r="AP193" s="1203"/>
      <c r="AQ193" s="1203"/>
      <c r="AR193" s="1203"/>
      <c r="AS193" s="1203"/>
      <c r="AT193" s="1203"/>
      <c r="AU193" s="1203"/>
      <c r="AV193" s="1203"/>
      <c r="AW193" s="1203"/>
      <c r="AX193" s="1203"/>
      <c r="AY193" s="1203"/>
      <c r="AZ193" s="1203"/>
      <c r="BA193" s="1203"/>
      <c r="BB193" s="1203"/>
      <c r="BC193" s="1203"/>
      <c r="BD193" s="1203"/>
      <c r="BE193" s="1210"/>
    </row>
    <row r="194" spans="1:57" ht="15.75" customHeight="1" thickBot="1">
      <c r="A194" s="1203"/>
      <c r="B194" s="1203"/>
      <c r="C194" s="1889" t="s">
        <v>2106</v>
      </c>
      <c r="D194" s="1829"/>
      <c r="E194" s="1829"/>
      <c r="F194" s="1829"/>
      <c r="G194" s="1829"/>
      <c r="H194" s="1829"/>
      <c r="I194" s="1829"/>
      <c r="J194" s="1829"/>
      <c r="K194" s="1829"/>
      <c r="L194" s="1829"/>
      <c r="M194" s="1829"/>
      <c r="N194" s="1829"/>
      <c r="O194" s="1829"/>
      <c r="P194" s="1829"/>
      <c r="Q194" s="1829"/>
      <c r="R194" s="1829"/>
      <c r="S194" s="1829"/>
      <c r="T194" s="1829"/>
      <c r="U194" s="1829"/>
      <c r="V194" s="1829"/>
      <c r="W194" s="1829"/>
      <c r="X194" s="1829"/>
      <c r="Y194" s="1829"/>
      <c r="Z194" s="1829"/>
      <c r="AA194" s="1829"/>
      <c r="AB194" s="1829"/>
      <c r="AC194" s="1829"/>
      <c r="AD194" s="1829"/>
      <c r="AE194" s="1862"/>
      <c r="AF194" s="1203"/>
      <c r="AG194" s="1203"/>
      <c r="AH194" s="1203"/>
      <c r="AI194" s="1203"/>
      <c r="AJ194" s="1203"/>
      <c r="AK194" s="1203"/>
      <c r="AL194" s="1203"/>
      <c r="AM194" s="1203"/>
      <c r="AN194" s="1203"/>
      <c r="AO194" s="1203"/>
      <c r="AP194" s="1203"/>
      <c r="AQ194" s="1203"/>
      <c r="AR194" s="1203"/>
      <c r="AS194" s="1203"/>
      <c r="AT194" s="1203"/>
      <c r="AU194" s="1203"/>
      <c r="AV194" s="1203"/>
      <c r="AW194" s="1203"/>
      <c r="AX194" s="1203"/>
      <c r="AY194" s="1203"/>
      <c r="AZ194" s="1203"/>
      <c r="BA194" s="1203"/>
      <c r="BB194" s="1203"/>
      <c r="BC194" s="1203"/>
      <c r="BD194" s="1203"/>
      <c r="BE194" s="1210"/>
    </row>
    <row r="195" spans="1:57" ht="15.75" customHeight="1">
      <c r="A195" s="1203"/>
      <c r="B195" s="1203"/>
      <c r="C195" s="1927" t="s">
        <v>2107</v>
      </c>
      <c r="D195" s="1740"/>
      <c r="E195" s="1740"/>
      <c r="F195" s="1740"/>
      <c r="G195" s="1740"/>
      <c r="H195" s="1740"/>
      <c r="I195" s="1740"/>
      <c r="J195" s="1740"/>
      <c r="K195" s="1740"/>
      <c r="L195" s="1740"/>
      <c r="M195" s="1740"/>
      <c r="N195" s="1741"/>
      <c r="O195" s="1890" t="s">
        <v>2108</v>
      </c>
      <c r="P195" s="1740"/>
      <c r="Q195" s="1740"/>
      <c r="R195" s="1740"/>
      <c r="S195" s="1740"/>
      <c r="T195" s="1740"/>
      <c r="U195" s="1740"/>
      <c r="V195" s="1740"/>
      <c r="W195" s="1741"/>
      <c r="X195" s="1890" t="s">
        <v>2109</v>
      </c>
      <c r="Y195" s="1740"/>
      <c r="Z195" s="1740"/>
      <c r="AA195" s="1740"/>
      <c r="AB195" s="1740"/>
      <c r="AC195" s="1740"/>
      <c r="AD195" s="1740"/>
      <c r="AE195" s="1741"/>
      <c r="AF195" s="1203"/>
      <c r="AG195" s="1203"/>
      <c r="AH195" s="1203"/>
      <c r="AI195" s="1203"/>
      <c r="AJ195" s="1203"/>
      <c r="AK195" s="1203"/>
      <c r="AL195" s="1203"/>
      <c r="AM195" s="1203"/>
      <c r="AN195" s="1203"/>
      <c r="AO195" s="1203"/>
      <c r="AP195" s="1203"/>
      <c r="AQ195" s="1203"/>
      <c r="AR195" s="1203"/>
      <c r="AS195" s="1203"/>
      <c r="AT195" s="1203"/>
      <c r="AU195" s="1203"/>
      <c r="AV195" s="1203"/>
      <c r="AW195" s="1203"/>
      <c r="AX195" s="1203"/>
      <c r="AY195" s="1203"/>
      <c r="AZ195" s="1203"/>
      <c r="BA195" s="1203"/>
      <c r="BB195" s="1203"/>
      <c r="BC195" s="1203"/>
      <c r="BD195" s="1203"/>
      <c r="BE195" s="1210"/>
    </row>
    <row r="196" spans="1:57" ht="15.75" customHeight="1">
      <c r="A196" s="1203"/>
      <c r="B196" s="1203"/>
      <c r="C196" s="1825" t="s">
        <v>2110</v>
      </c>
      <c r="D196" s="1263"/>
      <c r="E196" s="1263"/>
      <c r="F196" s="1263"/>
      <c r="G196" s="1263"/>
      <c r="H196" s="1263"/>
      <c r="I196" s="1263"/>
      <c r="J196" s="1263"/>
      <c r="K196" s="1263"/>
      <c r="L196" s="1263"/>
      <c r="M196" s="1263"/>
      <c r="N196" s="1264"/>
      <c r="O196" s="1811" t="s">
        <v>2111</v>
      </c>
      <c r="P196" s="1374"/>
      <c r="Q196" s="1374"/>
      <c r="R196" s="1374"/>
      <c r="S196" s="1374"/>
      <c r="T196" s="1374"/>
      <c r="U196" s="1374"/>
      <c r="V196" s="1374"/>
      <c r="W196" s="1375"/>
      <c r="X196" s="1821">
        <v>0.03</v>
      </c>
      <c r="Y196" s="1374"/>
      <c r="Z196" s="1374"/>
      <c r="AA196" s="1374"/>
      <c r="AB196" s="1374"/>
      <c r="AC196" s="1374"/>
      <c r="AD196" s="1374"/>
      <c r="AE196" s="1375"/>
      <c r="AF196" s="1203"/>
      <c r="AG196" s="1203"/>
      <c r="AH196" s="1203"/>
      <c r="AI196" s="1203"/>
      <c r="AJ196" s="1203"/>
      <c r="AK196" s="1203"/>
      <c r="AL196" s="1203"/>
      <c r="AM196" s="1203"/>
      <c r="AN196" s="1203"/>
      <c r="AO196" s="1203"/>
      <c r="AP196" s="1203"/>
      <c r="AQ196" s="1203"/>
      <c r="AR196" s="1203"/>
      <c r="AS196" s="1203"/>
      <c r="AT196" s="1203"/>
      <c r="AU196" s="1203"/>
      <c r="AV196" s="1203"/>
      <c r="AW196" s="1203"/>
      <c r="AX196" s="1203"/>
      <c r="AY196" s="1203"/>
      <c r="AZ196" s="1203"/>
      <c r="BA196" s="1203"/>
      <c r="BB196" s="1203"/>
      <c r="BC196" s="1203"/>
      <c r="BD196" s="1203"/>
      <c r="BE196" s="1210"/>
    </row>
    <row r="197" spans="1:57" ht="15.75" customHeight="1">
      <c r="A197" s="1203"/>
      <c r="B197" s="1203"/>
      <c r="C197" s="1825" t="s">
        <v>2112</v>
      </c>
      <c r="D197" s="1263"/>
      <c r="E197" s="1263"/>
      <c r="F197" s="1263"/>
      <c r="G197" s="1263"/>
      <c r="H197" s="1263"/>
      <c r="I197" s="1263"/>
      <c r="J197" s="1263"/>
      <c r="K197" s="1263"/>
      <c r="L197" s="1263"/>
      <c r="M197" s="1263"/>
      <c r="N197" s="1264"/>
      <c r="O197" s="1811" t="s">
        <v>2111</v>
      </c>
      <c r="P197" s="1374"/>
      <c r="Q197" s="1374"/>
      <c r="R197" s="1374"/>
      <c r="S197" s="1374"/>
      <c r="T197" s="1374"/>
      <c r="U197" s="1374"/>
      <c r="V197" s="1374"/>
      <c r="W197" s="1375"/>
      <c r="X197" s="1821">
        <v>0.03</v>
      </c>
      <c r="Y197" s="1374"/>
      <c r="Z197" s="1374"/>
      <c r="AA197" s="1374"/>
      <c r="AB197" s="1374"/>
      <c r="AC197" s="1374"/>
      <c r="AD197" s="1374"/>
      <c r="AE197" s="1375"/>
      <c r="AF197" s="1203"/>
      <c r="AG197" s="1203"/>
      <c r="AH197" s="1203"/>
      <c r="AI197" s="1203"/>
      <c r="AJ197" s="1203"/>
      <c r="AK197" s="1203"/>
      <c r="AL197" s="1203"/>
      <c r="AM197" s="1203"/>
      <c r="AN197" s="1203"/>
      <c r="AO197" s="1203"/>
      <c r="AP197" s="1203"/>
      <c r="AQ197" s="1203"/>
      <c r="AR197" s="1203"/>
      <c r="AS197" s="1203"/>
      <c r="AT197" s="1203"/>
      <c r="AU197" s="1203"/>
      <c r="AV197" s="1203"/>
      <c r="AW197" s="1203"/>
      <c r="AX197" s="1203"/>
      <c r="AY197" s="1203"/>
      <c r="AZ197" s="1203"/>
      <c r="BA197" s="1203"/>
      <c r="BB197" s="1203"/>
      <c r="BC197" s="1203"/>
      <c r="BD197" s="1203"/>
      <c r="BE197" s="1210"/>
    </row>
    <row r="198" spans="1:57" ht="15.75" customHeight="1">
      <c r="A198" s="1203"/>
      <c r="B198" s="1203"/>
      <c r="C198" s="1825" t="s">
        <v>2113</v>
      </c>
      <c r="D198" s="1263"/>
      <c r="E198" s="1263"/>
      <c r="F198" s="1263"/>
      <c r="G198" s="1263"/>
      <c r="H198" s="1263"/>
      <c r="I198" s="1263"/>
      <c r="J198" s="1263"/>
      <c r="K198" s="1263"/>
      <c r="L198" s="1263"/>
      <c r="M198" s="1263"/>
      <c r="N198" s="1264"/>
      <c r="O198" s="1799">
        <f>SUM(O196:W197)</f>
        <v>0</v>
      </c>
      <c r="P198" s="1405"/>
      <c r="Q198" s="1405"/>
      <c r="R198" s="1405"/>
      <c r="S198" s="1405"/>
      <c r="T198" s="1405"/>
      <c r="U198" s="1405"/>
      <c r="V198" s="1405"/>
      <c r="W198" s="1296"/>
      <c r="X198" s="1849" t="s">
        <v>2114</v>
      </c>
      <c r="Y198" s="1405"/>
      <c r="Z198" s="1405"/>
      <c r="AA198" s="1405"/>
      <c r="AB198" s="1405"/>
      <c r="AC198" s="1405"/>
      <c r="AD198" s="1405"/>
      <c r="AE198" s="1296"/>
      <c r="AF198" s="1203"/>
      <c r="AG198" s="1203"/>
      <c r="AH198" s="1203"/>
      <c r="AI198" s="1203"/>
      <c r="AJ198" s="1203"/>
      <c r="AK198" s="1203"/>
      <c r="AL198" s="1203"/>
      <c r="AM198" s="1203"/>
      <c r="AN198" s="1203"/>
      <c r="AO198" s="1203"/>
      <c r="AP198" s="1203"/>
      <c r="AQ198" s="1203"/>
      <c r="AR198" s="1203"/>
      <c r="AS198" s="1203"/>
      <c r="AT198" s="1203"/>
      <c r="AU198" s="1203"/>
      <c r="AV198" s="1203"/>
      <c r="AW198" s="1203"/>
      <c r="AX198" s="1203"/>
      <c r="AY198" s="1203"/>
      <c r="AZ198" s="1203"/>
      <c r="BA198" s="1203"/>
      <c r="BB198" s="1203"/>
      <c r="BC198" s="1203"/>
      <c r="BD198" s="1203"/>
      <c r="BE198" s="1210"/>
    </row>
    <row r="199" spans="1:57" ht="15.75" customHeight="1">
      <c r="A199" s="1203"/>
      <c r="B199" s="1203"/>
      <c r="C199" s="1926" t="s">
        <v>2115</v>
      </c>
      <c r="D199" s="1263"/>
      <c r="E199" s="1263"/>
      <c r="F199" s="1263"/>
      <c r="G199" s="1263"/>
      <c r="H199" s="1263"/>
      <c r="I199" s="1263"/>
      <c r="J199" s="1263"/>
      <c r="K199" s="1263"/>
      <c r="L199" s="1263"/>
      <c r="M199" s="1263"/>
      <c r="N199" s="1263"/>
      <c r="O199" s="1263"/>
      <c r="P199" s="1263"/>
      <c r="Q199" s="1263"/>
      <c r="R199" s="1263"/>
      <c r="S199" s="1263"/>
      <c r="T199" s="1263"/>
      <c r="U199" s="1263"/>
      <c r="V199" s="1263"/>
      <c r="W199" s="1263"/>
      <c r="X199" s="1263"/>
      <c r="Y199" s="1263"/>
      <c r="Z199" s="1263"/>
      <c r="AA199" s="1263"/>
      <c r="AB199" s="1263"/>
      <c r="AC199" s="1263"/>
      <c r="AD199" s="1263"/>
      <c r="AE199" s="1264"/>
      <c r="AF199" s="1203"/>
      <c r="AG199" s="1203"/>
      <c r="AH199" s="1203"/>
      <c r="AI199" s="1203"/>
      <c r="AJ199" s="1203"/>
      <c r="AK199" s="1203"/>
      <c r="AL199" s="1203"/>
      <c r="AM199" s="1203"/>
      <c r="AN199" s="1203"/>
      <c r="AO199" s="1203"/>
      <c r="AP199" s="1203"/>
      <c r="AQ199" s="1203"/>
      <c r="AR199" s="1203"/>
      <c r="AS199" s="1203"/>
      <c r="AT199" s="1203"/>
      <c r="AU199" s="1203"/>
      <c r="AV199" s="1203"/>
      <c r="AW199" s="1203"/>
      <c r="AX199" s="1203"/>
      <c r="AY199" s="1203"/>
      <c r="AZ199" s="1203"/>
      <c r="BA199" s="1203"/>
      <c r="BB199" s="1203"/>
      <c r="BC199" s="1203"/>
      <c r="BD199" s="1203"/>
      <c r="BE199" s="1210"/>
    </row>
    <row r="200" spans="1:57" ht="15.75" customHeight="1" thickBot="1">
      <c r="A200" s="1203"/>
      <c r="B200" s="1203"/>
      <c r="C200" s="1203"/>
      <c r="D200" s="1203"/>
      <c r="E200" s="1203"/>
      <c r="F200" s="1203"/>
      <c r="G200" s="1203"/>
      <c r="H200" s="1203"/>
      <c r="I200" s="1203"/>
      <c r="J200" s="1203"/>
      <c r="K200" s="1203"/>
      <c r="L200" s="1203"/>
      <c r="M200" s="1203"/>
      <c r="N200" s="1203"/>
      <c r="O200" s="1203"/>
      <c r="P200" s="1203"/>
      <c r="Q200" s="1203"/>
      <c r="R200" s="1203"/>
      <c r="S200" s="1203"/>
      <c r="T200" s="1203"/>
      <c r="U200" s="1203"/>
      <c r="V200" s="1203"/>
      <c r="W200" s="1203"/>
      <c r="X200" s="1203"/>
      <c r="Y200" s="1203"/>
      <c r="Z200" s="1203"/>
      <c r="AA200" s="1203"/>
      <c r="AB200" s="1203"/>
      <c r="AC200" s="1203"/>
      <c r="AD200" s="1203"/>
      <c r="AE200" s="1203"/>
      <c r="AF200" s="1203"/>
      <c r="AG200" s="1203"/>
      <c r="AH200" s="1203"/>
      <c r="AI200" s="1203"/>
      <c r="AJ200" s="1203"/>
      <c r="AK200" s="1203"/>
      <c r="AL200" s="1203"/>
      <c r="AM200" s="1203"/>
      <c r="AN200" s="1203"/>
      <c r="AO200" s="1203"/>
      <c r="AP200" s="1203"/>
      <c r="AQ200" s="1203"/>
      <c r="AR200" s="1203"/>
      <c r="AS200" s="1203"/>
      <c r="AT200" s="1203"/>
      <c r="AU200" s="1203"/>
      <c r="AV200" s="1203"/>
      <c r="AW200" s="1203"/>
      <c r="AX200" s="1203"/>
      <c r="AY200" s="1203"/>
      <c r="AZ200" s="1203"/>
      <c r="BA200" s="1203"/>
      <c r="BB200" s="1203"/>
      <c r="BC200" s="1203"/>
      <c r="BD200" s="1203"/>
      <c r="BE200" s="1210"/>
    </row>
    <row r="201" spans="1:57" ht="15.75" customHeight="1" thickBot="1">
      <c r="A201" s="1203"/>
      <c r="B201" s="1203"/>
      <c r="C201" s="1861" t="s">
        <v>2116</v>
      </c>
      <c r="D201" s="1829"/>
      <c r="E201" s="1829"/>
      <c r="F201" s="1829"/>
      <c r="G201" s="1829"/>
      <c r="H201" s="1829"/>
      <c r="I201" s="1829"/>
      <c r="J201" s="1829"/>
      <c r="K201" s="1829"/>
      <c r="L201" s="1829"/>
      <c r="M201" s="1829"/>
      <c r="N201" s="1829"/>
      <c r="O201" s="1829"/>
      <c r="P201" s="1829"/>
      <c r="Q201" s="1829"/>
      <c r="R201" s="1829"/>
      <c r="S201" s="1829"/>
      <c r="T201" s="1829"/>
      <c r="U201" s="1829"/>
      <c r="V201" s="1829"/>
      <c r="W201" s="1829"/>
      <c r="X201" s="1829"/>
      <c r="Y201" s="1829"/>
      <c r="Z201" s="1829"/>
      <c r="AA201" s="1829"/>
      <c r="AB201" s="1829"/>
      <c r="AC201" s="1829"/>
      <c r="AD201" s="1829"/>
      <c r="AE201" s="1829"/>
      <c r="AF201" s="1829"/>
      <c r="AG201" s="1829"/>
      <c r="AH201" s="1829"/>
      <c r="AI201" s="1829"/>
      <c r="AJ201" s="1829"/>
      <c r="AK201" s="1862"/>
      <c r="AL201" s="1203"/>
      <c r="AM201" s="1203"/>
      <c r="AN201" s="1203"/>
      <c r="AO201" s="1203"/>
      <c r="AP201" s="1203"/>
      <c r="AQ201" s="1203"/>
      <c r="AR201" s="1203"/>
      <c r="AS201" s="1203"/>
      <c r="AT201" s="1203"/>
      <c r="AU201" s="1203"/>
      <c r="AV201" s="1203"/>
      <c r="AW201" s="1203"/>
      <c r="AX201" s="1203"/>
      <c r="AY201" s="1203"/>
      <c r="AZ201" s="1203"/>
      <c r="BA201" s="1203"/>
      <c r="BB201" s="1203"/>
      <c r="BC201" s="1203"/>
      <c r="BD201" s="1203"/>
      <c r="BE201" s="1210"/>
    </row>
    <row r="202" spans="1:57" ht="15.75" customHeight="1">
      <c r="A202" s="1203"/>
      <c r="B202" s="1203"/>
      <c r="C202" s="1841" t="s">
        <v>2117</v>
      </c>
      <c r="D202" s="1737"/>
      <c r="E202" s="1737"/>
      <c r="F202" s="1738"/>
      <c r="G202" s="1791" t="s">
        <v>2118</v>
      </c>
      <c r="H202" s="1737"/>
      <c r="I202" s="1737"/>
      <c r="J202" s="1737"/>
      <c r="K202" s="1737"/>
      <c r="L202" s="1737"/>
      <c r="M202" s="1737"/>
      <c r="N202" s="1737"/>
      <c r="O202" s="1738"/>
      <c r="P202" s="1844" t="s">
        <v>2119</v>
      </c>
      <c r="Q202" s="1737"/>
      <c r="R202" s="1737"/>
      <c r="S202" s="1737"/>
      <c r="T202" s="1738"/>
      <c r="U202" s="1736" t="s">
        <v>2120</v>
      </c>
      <c r="V202" s="1737"/>
      <c r="W202" s="1737"/>
      <c r="X202" s="1738"/>
      <c r="Y202" s="1736" t="s">
        <v>2121</v>
      </c>
      <c r="Z202" s="1737"/>
      <c r="AA202" s="1737"/>
      <c r="AB202" s="1738"/>
      <c r="AC202" s="1736" t="s">
        <v>2122</v>
      </c>
      <c r="AD202" s="1737"/>
      <c r="AE202" s="1737"/>
      <c r="AF202" s="1738"/>
      <c r="AG202" s="1873" t="s">
        <v>2123</v>
      </c>
      <c r="AH202" s="1737"/>
      <c r="AI202" s="1737"/>
      <c r="AJ202" s="1737"/>
      <c r="AK202" s="1874"/>
      <c r="AL202" s="1203"/>
      <c r="AM202" s="1203"/>
      <c r="AN202" s="1203"/>
      <c r="AO202" s="1203"/>
      <c r="AP202" s="1203"/>
      <c r="AQ202" s="1203"/>
      <c r="AR202" s="1203"/>
      <c r="AS202" s="1203"/>
      <c r="AT202" s="1203"/>
      <c r="AU202" s="1203"/>
      <c r="AV202" s="1203"/>
      <c r="AW202" s="1203"/>
      <c r="AX202" s="1203"/>
      <c r="AY202" s="1203"/>
      <c r="AZ202" s="1203"/>
      <c r="BA202" s="1203"/>
      <c r="BB202" s="1203"/>
      <c r="BC202" s="1203"/>
      <c r="BD202" s="1203"/>
      <c r="BE202" s="1210"/>
    </row>
    <row r="203" spans="1:57" ht="15.75" customHeight="1">
      <c r="A203" s="1203"/>
      <c r="B203" s="1203"/>
      <c r="C203" s="1842"/>
      <c r="D203" s="1740"/>
      <c r="E203" s="1740"/>
      <c r="F203" s="1741"/>
      <c r="G203" s="1739"/>
      <c r="H203" s="1740"/>
      <c r="I203" s="1740"/>
      <c r="J203" s="1740"/>
      <c r="K203" s="1740"/>
      <c r="L203" s="1740"/>
      <c r="M203" s="1740"/>
      <c r="N203" s="1740"/>
      <c r="O203" s="1741"/>
      <c r="P203" s="1739"/>
      <c r="Q203" s="1740"/>
      <c r="R203" s="1740"/>
      <c r="S203" s="1740"/>
      <c r="T203" s="1741"/>
      <c r="U203" s="1739"/>
      <c r="V203" s="1740"/>
      <c r="W203" s="1740"/>
      <c r="X203" s="1741"/>
      <c r="Y203" s="1739"/>
      <c r="Z203" s="1740"/>
      <c r="AA203" s="1740"/>
      <c r="AB203" s="1741"/>
      <c r="AC203" s="1739"/>
      <c r="AD203" s="1740"/>
      <c r="AE203" s="1740"/>
      <c r="AF203" s="1741"/>
      <c r="AG203" s="1739"/>
      <c r="AH203" s="1740"/>
      <c r="AI203" s="1740"/>
      <c r="AJ203" s="1740"/>
      <c r="AK203" s="1875"/>
      <c r="AL203" s="1203"/>
      <c r="AM203" s="1203"/>
      <c r="AN203" s="1203"/>
      <c r="AO203" s="1203"/>
      <c r="AP203" s="1203"/>
      <c r="AQ203" s="1203"/>
      <c r="AR203" s="1203"/>
      <c r="AS203" s="1203"/>
      <c r="AT203" s="1203"/>
      <c r="AU203" s="1203"/>
      <c r="AV203" s="1203"/>
      <c r="AW203" s="1203"/>
      <c r="AX203" s="1203"/>
      <c r="AY203" s="1203"/>
      <c r="AZ203" s="1203"/>
      <c r="BA203" s="1203"/>
      <c r="BB203" s="1203"/>
      <c r="BC203" s="1203"/>
      <c r="BD203" s="1203"/>
      <c r="BE203" s="1210"/>
    </row>
    <row r="204" spans="1:57" ht="15.75" customHeight="1">
      <c r="A204" s="1203"/>
      <c r="B204" s="1203"/>
      <c r="C204" s="1784">
        <v>1</v>
      </c>
      <c r="D204" s="1785"/>
      <c r="E204" s="1785"/>
      <c r="F204" s="1786"/>
      <c r="G204" s="1788"/>
      <c r="H204" s="1374"/>
      <c r="I204" s="1374"/>
      <c r="J204" s="1374"/>
      <c r="K204" s="1374"/>
      <c r="L204" s="1374"/>
      <c r="M204" s="1374"/>
      <c r="N204" s="1374"/>
      <c r="O204" s="1375"/>
      <c r="P204" s="1728"/>
      <c r="Q204" s="1374"/>
      <c r="R204" s="1374"/>
      <c r="S204" s="1374"/>
      <c r="T204" s="1375"/>
      <c r="U204" s="1809"/>
      <c r="V204" s="1374"/>
      <c r="W204" s="1374"/>
      <c r="X204" s="1375"/>
      <c r="Y204" s="1809"/>
      <c r="Z204" s="1374"/>
      <c r="AA204" s="1374"/>
      <c r="AB204" s="1375"/>
      <c r="AC204" s="1805"/>
      <c r="AD204" s="1374"/>
      <c r="AE204" s="1374"/>
      <c r="AF204" s="1375"/>
      <c r="AG204" s="1823"/>
      <c r="AH204" s="1374"/>
      <c r="AI204" s="1374"/>
      <c r="AJ204" s="1374"/>
      <c r="AK204" s="1782"/>
      <c r="AL204" s="1203"/>
      <c r="AM204" s="1203"/>
      <c r="AN204" s="1203"/>
      <c r="AO204" s="1203"/>
      <c r="AP204" s="1203"/>
      <c r="AQ204" s="1203"/>
      <c r="AR204" s="1203"/>
      <c r="AS204" s="1203"/>
      <c r="AT204" s="1203"/>
      <c r="AU204" s="1203"/>
      <c r="AV204" s="1203"/>
      <c r="AW204" s="1203"/>
      <c r="AX204" s="1203"/>
      <c r="AY204" s="1203"/>
      <c r="AZ204" s="1203"/>
      <c r="BA204" s="1203"/>
      <c r="BB204" s="1203"/>
      <c r="BC204" s="1203"/>
      <c r="BD204" s="1203"/>
      <c r="BE204" s="1210"/>
    </row>
    <row r="205" spans="1:57" ht="15.75" customHeight="1">
      <c r="A205" s="1203"/>
      <c r="B205" s="1203"/>
      <c r="C205" s="1784">
        <v>2</v>
      </c>
      <c r="D205" s="1785"/>
      <c r="E205" s="1785"/>
      <c r="F205" s="1786"/>
      <c r="G205" s="1788"/>
      <c r="H205" s="1374"/>
      <c r="I205" s="1374"/>
      <c r="J205" s="1374"/>
      <c r="K205" s="1374"/>
      <c r="L205" s="1374"/>
      <c r="M205" s="1374"/>
      <c r="N205" s="1374"/>
      <c r="O205" s="1375"/>
      <c r="P205" s="1728"/>
      <c r="Q205" s="1374"/>
      <c r="R205" s="1374"/>
      <c r="S205" s="1374"/>
      <c r="T205" s="1375"/>
      <c r="U205" s="1809"/>
      <c r="V205" s="1374"/>
      <c r="W205" s="1374"/>
      <c r="X205" s="1375"/>
      <c r="Y205" s="1809"/>
      <c r="Z205" s="1374"/>
      <c r="AA205" s="1374"/>
      <c r="AB205" s="1375"/>
      <c r="AC205" s="1805"/>
      <c r="AD205" s="1374"/>
      <c r="AE205" s="1374"/>
      <c r="AF205" s="1375"/>
      <c r="AG205" s="1823"/>
      <c r="AH205" s="1374"/>
      <c r="AI205" s="1374"/>
      <c r="AJ205" s="1374"/>
      <c r="AK205" s="1782"/>
      <c r="AL205" s="1203"/>
      <c r="AM205" s="1203"/>
      <c r="AN205" s="1203"/>
      <c r="AO205" s="1203"/>
      <c r="AP205" s="1203"/>
      <c r="AQ205" s="1203"/>
      <c r="AR205" s="1203"/>
      <c r="AS205" s="1203"/>
      <c r="AT205" s="1203"/>
      <c r="AU205" s="1203"/>
      <c r="AV205" s="1203"/>
      <c r="AW205" s="1203"/>
      <c r="AX205" s="1203"/>
      <c r="AY205" s="1203"/>
      <c r="AZ205" s="1203"/>
      <c r="BA205" s="1203"/>
      <c r="BB205" s="1203"/>
      <c r="BC205" s="1203"/>
      <c r="BD205" s="1203"/>
      <c r="BE205" s="1210"/>
    </row>
    <row r="206" spans="1:57" ht="15.75" customHeight="1">
      <c r="A206" s="1203"/>
      <c r="B206" s="1203"/>
      <c r="C206" s="1784">
        <v>3</v>
      </c>
      <c r="D206" s="1785"/>
      <c r="E206" s="1785"/>
      <c r="F206" s="1786"/>
      <c r="G206" s="1788"/>
      <c r="H206" s="1374"/>
      <c r="I206" s="1374"/>
      <c r="J206" s="1374"/>
      <c r="K206" s="1374"/>
      <c r="L206" s="1374"/>
      <c r="M206" s="1374"/>
      <c r="N206" s="1374"/>
      <c r="O206" s="1375"/>
      <c r="P206" s="1728"/>
      <c r="Q206" s="1374"/>
      <c r="R206" s="1374"/>
      <c r="S206" s="1374"/>
      <c r="T206" s="1375"/>
      <c r="U206" s="1809"/>
      <c r="V206" s="1374"/>
      <c r="W206" s="1374"/>
      <c r="X206" s="1375"/>
      <c r="Y206" s="1809"/>
      <c r="Z206" s="1374"/>
      <c r="AA206" s="1374"/>
      <c r="AB206" s="1375"/>
      <c r="AC206" s="1805"/>
      <c r="AD206" s="1374"/>
      <c r="AE206" s="1374"/>
      <c r="AF206" s="1375"/>
      <c r="AG206" s="1823"/>
      <c r="AH206" s="1374"/>
      <c r="AI206" s="1374"/>
      <c r="AJ206" s="1374"/>
      <c r="AK206" s="1782"/>
      <c r="AL206" s="1203"/>
      <c r="AM206" s="1203"/>
      <c r="AN206" s="1203"/>
      <c r="AO206" s="1203"/>
      <c r="AP206" s="1203"/>
      <c r="AQ206" s="1203"/>
      <c r="AR206" s="1203"/>
      <c r="AS206" s="1203"/>
      <c r="AT206" s="1203"/>
      <c r="AU206" s="1203"/>
      <c r="AV206" s="1203"/>
      <c r="AW206" s="1203"/>
      <c r="AX206" s="1203"/>
      <c r="AY206" s="1203"/>
      <c r="AZ206" s="1203"/>
      <c r="BA206" s="1203"/>
      <c r="BB206" s="1203"/>
      <c r="BC206" s="1203"/>
      <c r="BD206" s="1203"/>
      <c r="BE206" s="1210"/>
    </row>
    <row r="207" spans="1:57" ht="15.75" customHeight="1">
      <c r="A207" s="1203"/>
      <c r="B207" s="1203"/>
      <c r="C207" s="1784">
        <v>4</v>
      </c>
      <c r="D207" s="1785"/>
      <c r="E207" s="1785"/>
      <c r="F207" s="1786"/>
      <c r="G207" s="1788"/>
      <c r="H207" s="1374"/>
      <c r="I207" s="1374"/>
      <c r="J207" s="1374"/>
      <c r="K207" s="1374"/>
      <c r="L207" s="1374"/>
      <c r="M207" s="1374"/>
      <c r="N207" s="1374"/>
      <c r="O207" s="1375"/>
      <c r="P207" s="1728"/>
      <c r="Q207" s="1374"/>
      <c r="R207" s="1374"/>
      <c r="S207" s="1374"/>
      <c r="T207" s="1375"/>
      <c r="U207" s="1809"/>
      <c r="V207" s="1374"/>
      <c r="W207" s="1374"/>
      <c r="X207" s="1375"/>
      <c r="Y207" s="1809"/>
      <c r="Z207" s="1374"/>
      <c r="AA207" s="1374"/>
      <c r="AB207" s="1375"/>
      <c r="AC207" s="1805"/>
      <c r="AD207" s="1374"/>
      <c r="AE207" s="1374"/>
      <c r="AF207" s="1375"/>
      <c r="AG207" s="1823"/>
      <c r="AH207" s="1374"/>
      <c r="AI207" s="1374"/>
      <c r="AJ207" s="1374"/>
      <c r="AK207" s="1782"/>
      <c r="AL207" s="1203"/>
      <c r="AM207" s="1203"/>
      <c r="AN207" s="1203"/>
      <c r="AO207" s="1203"/>
      <c r="AP207" s="1203"/>
      <c r="AQ207" s="1203"/>
      <c r="AR207" s="1203"/>
      <c r="AS207" s="1203"/>
      <c r="AT207" s="1203"/>
      <c r="AU207" s="1203"/>
      <c r="AV207" s="1203"/>
      <c r="AW207" s="1203"/>
      <c r="AX207" s="1203"/>
      <c r="AY207" s="1203"/>
      <c r="AZ207" s="1203"/>
      <c r="BA207" s="1203"/>
      <c r="BB207" s="1203"/>
      <c r="BC207" s="1203"/>
      <c r="BD207" s="1203"/>
      <c r="BE207" s="1210"/>
    </row>
    <row r="208" spans="1:57" ht="15.75" customHeight="1">
      <c r="A208" s="1203"/>
      <c r="B208" s="1203"/>
      <c r="C208" s="1784">
        <v>5</v>
      </c>
      <c r="D208" s="1785"/>
      <c r="E208" s="1785"/>
      <c r="F208" s="1786"/>
      <c r="G208" s="1788"/>
      <c r="H208" s="1374"/>
      <c r="I208" s="1374"/>
      <c r="J208" s="1374"/>
      <c r="K208" s="1374"/>
      <c r="L208" s="1374"/>
      <c r="M208" s="1374"/>
      <c r="N208" s="1374"/>
      <c r="O208" s="1375"/>
      <c r="P208" s="1728"/>
      <c r="Q208" s="1374"/>
      <c r="R208" s="1374"/>
      <c r="S208" s="1374"/>
      <c r="T208" s="1375"/>
      <c r="U208" s="1809"/>
      <c r="V208" s="1374"/>
      <c r="W208" s="1374"/>
      <c r="X208" s="1375"/>
      <c r="Y208" s="1809"/>
      <c r="Z208" s="1374"/>
      <c r="AA208" s="1374"/>
      <c r="AB208" s="1375"/>
      <c r="AC208" s="1805"/>
      <c r="AD208" s="1374"/>
      <c r="AE208" s="1374"/>
      <c r="AF208" s="1375"/>
      <c r="AG208" s="1823"/>
      <c r="AH208" s="1374"/>
      <c r="AI208" s="1374"/>
      <c r="AJ208" s="1374"/>
      <c r="AK208" s="1782"/>
      <c r="AL208" s="1203"/>
      <c r="AM208" s="1203"/>
      <c r="AN208" s="1203"/>
      <c r="AO208" s="1203"/>
      <c r="AP208" s="1203"/>
      <c r="AQ208" s="1203"/>
      <c r="AR208" s="1203"/>
      <c r="AS208" s="1203"/>
      <c r="AT208" s="1203"/>
      <c r="AU208" s="1203"/>
      <c r="AV208" s="1203"/>
      <c r="AW208" s="1203"/>
      <c r="AX208" s="1203"/>
      <c r="AY208" s="1203"/>
      <c r="AZ208" s="1203"/>
      <c r="BA208" s="1203"/>
      <c r="BB208" s="1203"/>
      <c r="BC208" s="1203"/>
      <c r="BD208" s="1203"/>
      <c r="BE208" s="1210"/>
    </row>
    <row r="209" spans="1:57" ht="15.75" customHeight="1">
      <c r="A209" s="1203"/>
      <c r="B209" s="1203"/>
      <c r="C209" s="1784">
        <v>6</v>
      </c>
      <c r="D209" s="1785"/>
      <c r="E209" s="1785"/>
      <c r="F209" s="1786"/>
      <c r="G209" s="1788"/>
      <c r="H209" s="1374"/>
      <c r="I209" s="1374"/>
      <c r="J209" s="1374"/>
      <c r="K209" s="1374"/>
      <c r="L209" s="1374"/>
      <c r="M209" s="1374"/>
      <c r="N209" s="1374"/>
      <c r="O209" s="1375"/>
      <c r="P209" s="1728"/>
      <c r="Q209" s="1374"/>
      <c r="R209" s="1374"/>
      <c r="S209" s="1374"/>
      <c r="T209" s="1375"/>
      <c r="U209" s="1809"/>
      <c r="V209" s="1374"/>
      <c r="W209" s="1374"/>
      <c r="X209" s="1375"/>
      <c r="Y209" s="1809"/>
      <c r="Z209" s="1374"/>
      <c r="AA209" s="1374"/>
      <c r="AB209" s="1375"/>
      <c r="AC209" s="1805"/>
      <c r="AD209" s="1374"/>
      <c r="AE209" s="1374"/>
      <c r="AF209" s="1375"/>
      <c r="AG209" s="1823"/>
      <c r="AH209" s="1374"/>
      <c r="AI209" s="1374"/>
      <c r="AJ209" s="1374"/>
      <c r="AK209" s="1782"/>
      <c r="AL209" s="1203"/>
      <c r="AM209" s="1203"/>
      <c r="AN209" s="1203"/>
      <c r="AO209" s="1203"/>
      <c r="AP209" s="1203"/>
      <c r="AQ209" s="1203"/>
      <c r="AR209" s="1203"/>
      <c r="AS209" s="1203"/>
      <c r="AT209" s="1203"/>
      <c r="AU209" s="1203"/>
      <c r="AV209" s="1203"/>
      <c r="AW209" s="1203"/>
      <c r="AX209" s="1203"/>
      <c r="AY209" s="1203"/>
      <c r="AZ209" s="1203"/>
      <c r="BA209" s="1203"/>
      <c r="BB209" s="1203"/>
      <c r="BC209" s="1203"/>
      <c r="BD209" s="1203"/>
      <c r="BE209" s="1210"/>
    </row>
    <row r="210" spans="1:57" ht="15.75" customHeight="1">
      <c r="A210" s="1203"/>
      <c r="B210" s="1203"/>
      <c r="C210" s="1784">
        <v>7</v>
      </c>
      <c r="D210" s="1785"/>
      <c r="E210" s="1785"/>
      <c r="F210" s="1786"/>
      <c r="G210" s="1788"/>
      <c r="H210" s="1374"/>
      <c r="I210" s="1374"/>
      <c r="J210" s="1374"/>
      <c r="K210" s="1374"/>
      <c r="L210" s="1374"/>
      <c r="M210" s="1374"/>
      <c r="N210" s="1374"/>
      <c r="O210" s="1375"/>
      <c r="P210" s="1728"/>
      <c r="Q210" s="1374"/>
      <c r="R210" s="1374"/>
      <c r="S210" s="1374"/>
      <c r="T210" s="1375"/>
      <c r="U210" s="1809"/>
      <c r="V210" s="1374"/>
      <c r="W210" s="1374"/>
      <c r="X210" s="1375"/>
      <c r="Y210" s="1809"/>
      <c r="Z210" s="1374"/>
      <c r="AA210" s="1374"/>
      <c r="AB210" s="1375"/>
      <c r="AC210" s="1805"/>
      <c r="AD210" s="1374"/>
      <c r="AE210" s="1374"/>
      <c r="AF210" s="1375"/>
      <c r="AG210" s="1823"/>
      <c r="AH210" s="1374"/>
      <c r="AI210" s="1374"/>
      <c r="AJ210" s="1374"/>
      <c r="AK210" s="1782"/>
      <c r="AL210" s="1203"/>
      <c r="AM210" s="1203"/>
      <c r="AN210" s="1203"/>
      <c r="AO210" s="1203"/>
      <c r="AP210" s="1203"/>
      <c r="AQ210" s="1203"/>
      <c r="AR210" s="1203"/>
      <c r="AS210" s="1203"/>
      <c r="AT210" s="1203"/>
      <c r="AU210" s="1203"/>
      <c r="AV210" s="1203"/>
      <c r="AW210" s="1203"/>
      <c r="AX210" s="1203"/>
      <c r="AY210" s="1203"/>
      <c r="AZ210" s="1203"/>
      <c r="BA210" s="1203"/>
      <c r="BB210" s="1203"/>
      <c r="BC210" s="1203"/>
      <c r="BD210" s="1203"/>
      <c r="BE210" s="1210"/>
    </row>
    <row r="211" spans="1:57" ht="15.75" customHeight="1">
      <c r="A211" s="1203"/>
      <c r="B211" s="1203"/>
      <c r="C211" s="1919" t="s">
        <v>2124</v>
      </c>
      <c r="D211" s="1785"/>
      <c r="E211" s="1785"/>
      <c r="F211" s="1785"/>
      <c r="G211" s="1785"/>
      <c r="H211" s="1785"/>
      <c r="I211" s="1785"/>
      <c r="J211" s="1785"/>
      <c r="K211" s="1785"/>
      <c r="L211" s="1785"/>
      <c r="M211" s="1785"/>
      <c r="N211" s="1785"/>
      <c r="O211" s="1786"/>
      <c r="P211" s="1856"/>
      <c r="Q211" s="1785"/>
      <c r="R211" s="1785"/>
      <c r="S211" s="1785"/>
      <c r="T211" s="1786"/>
      <c r="U211" s="1813">
        <f>-SUM(U204:U210)</f>
        <v>0</v>
      </c>
      <c r="V211" s="1785"/>
      <c r="W211" s="1785"/>
      <c r="X211" s="1786"/>
      <c r="Y211" s="1813">
        <f>-SUM(Y204:Y210)</f>
        <v>0</v>
      </c>
      <c r="Z211" s="1785"/>
      <c r="AA211" s="1785"/>
      <c r="AB211" s="1786"/>
      <c r="AC211" s="1848">
        <f>-SUM(AC204:AC210)</f>
        <v>0</v>
      </c>
      <c r="AD211" s="1785"/>
      <c r="AE211" s="1785"/>
      <c r="AF211" s="1786"/>
      <c r="AG211" s="1876"/>
      <c r="AH211" s="1785"/>
      <c r="AI211" s="1785"/>
      <c r="AJ211" s="1785"/>
      <c r="AK211" s="1877"/>
      <c r="AL211" s="1203"/>
      <c r="AM211" s="1203"/>
      <c r="AN211" s="1203"/>
      <c r="AO211" s="1203"/>
      <c r="AP211" s="1203"/>
      <c r="AQ211" s="1203"/>
      <c r="AR211" s="1203"/>
      <c r="AS211" s="1203"/>
      <c r="AT211" s="1203"/>
      <c r="AU211" s="1203"/>
      <c r="AV211" s="1203"/>
      <c r="AW211" s="1203"/>
      <c r="AX211" s="1203"/>
      <c r="AY211" s="1203"/>
      <c r="AZ211" s="1203"/>
      <c r="BA211" s="1203"/>
      <c r="BB211" s="1203"/>
      <c r="BC211" s="1203"/>
      <c r="BD211" s="1203"/>
      <c r="BE211" s="1210"/>
    </row>
    <row r="212" spans="1:57" ht="15.75" customHeight="1">
      <c r="A212" s="1203"/>
      <c r="B212" s="1203"/>
      <c r="C212" s="1203" t="s">
        <v>2125</v>
      </c>
      <c r="D212" s="1203"/>
      <c r="E212" s="1203"/>
      <c r="F212" s="1203"/>
      <c r="G212" s="1203"/>
      <c r="H212" s="1203"/>
      <c r="I212" s="1203"/>
      <c r="J212" s="1203"/>
      <c r="K212" s="1203"/>
      <c r="L212" s="1203"/>
      <c r="M212" s="1203"/>
      <c r="N212" s="1203"/>
      <c r="O212" s="1203"/>
      <c r="P212" s="1203"/>
      <c r="Q212" s="1203"/>
      <c r="R212" s="1203"/>
      <c r="S212" s="1203"/>
      <c r="T212" s="1203"/>
      <c r="U212" s="1203"/>
      <c r="V212" s="1203"/>
      <c r="W212" s="1203"/>
      <c r="X212" s="1203"/>
      <c r="Y212" s="1203"/>
      <c r="Z212" s="1203"/>
      <c r="AA212" s="1203"/>
      <c r="AB212" s="1203"/>
      <c r="AC212" s="1203"/>
      <c r="AD212" s="1203"/>
      <c r="AE212" s="1203"/>
      <c r="AF212" s="1203"/>
      <c r="AG212" s="1203"/>
      <c r="AH212" s="1203"/>
      <c r="AI212" s="1203"/>
      <c r="AJ212" s="1203"/>
      <c r="AK212" s="1203"/>
      <c r="AL212" s="1203"/>
      <c r="AM212" s="1203"/>
      <c r="AN212" s="1203"/>
      <c r="AO212" s="1203"/>
      <c r="AP212" s="1203"/>
      <c r="AQ212" s="1203"/>
      <c r="AR212" s="1203"/>
      <c r="AS212" s="1203"/>
      <c r="AT212" s="1203"/>
      <c r="AU212" s="1203"/>
      <c r="AV212" s="1203"/>
      <c r="AW212" s="1203"/>
      <c r="AX212" s="1203"/>
      <c r="AY212" s="1203"/>
      <c r="AZ212" s="1203"/>
      <c r="BA212" s="1203"/>
      <c r="BB212" s="1203"/>
      <c r="BC212" s="1203"/>
      <c r="BD212" s="1203"/>
      <c r="BE212" s="1210"/>
    </row>
    <row r="213" spans="1:57" ht="15.75" customHeight="1">
      <c r="A213" s="1203"/>
      <c r="B213" s="1203"/>
      <c r="C213" s="1203"/>
      <c r="D213" s="1203"/>
      <c r="E213" s="1203"/>
      <c r="F213" s="1203"/>
      <c r="G213" s="1203"/>
      <c r="H213" s="1203"/>
      <c r="I213" s="1203"/>
      <c r="J213" s="1203"/>
      <c r="K213" s="1203"/>
      <c r="L213" s="1203"/>
      <c r="M213" s="1203"/>
      <c r="N213" s="1203"/>
      <c r="O213" s="1203"/>
      <c r="P213" s="1203"/>
      <c r="Q213" s="1203"/>
      <c r="R213" s="1203"/>
      <c r="S213" s="1203"/>
      <c r="T213" s="1203"/>
      <c r="U213" s="1203"/>
      <c r="V213" s="1203"/>
      <c r="W213" s="1203"/>
      <c r="X213" s="1203"/>
      <c r="Y213" s="1203"/>
      <c r="Z213" s="1203"/>
      <c r="AA213" s="1203"/>
      <c r="AB213" s="1203"/>
      <c r="AC213" s="1203"/>
      <c r="AD213" s="1203"/>
      <c r="AE213" s="1203"/>
      <c r="AF213" s="1203"/>
      <c r="AG213" s="1203"/>
      <c r="AH213" s="1203"/>
      <c r="AI213" s="1203"/>
      <c r="AJ213" s="1203"/>
      <c r="AK213" s="1203"/>
      <c r="AL213" s="1203"/>
      <c r="AM213" s="1203"/>
      <c r="AN213" s="1203"/>
      <c r="AO213" s="1203"/>
      <c r="AP213" s="1203"/>
      <c r="AQ213" s="1203"/>
      <c r="AR213" s="1203"/>
      <c r="AS213" s="1203"/>
      <c r="AT213" s="1203"/>
      <c r="AU213" s="1203"/>
      <c r="AV213" s="1203"/>
      <c r="AW213" s="1203"/>
      <c r="AX213" s="1203"/>
      <c r="AY213" s="1203"/>
      <c r="AZ213" s="1203"/>
      <c r="BA213" s="1203"/>
      <c r="BB213" s="1203"/>
      <c r="BC213" s="1203"/>
      <c r="BD213" s="1203"/>
      <c r="BE213" s="1210"/>
    </row>
    <row r="214" spans="1:57" ht="15.75" customHeight="1">
      <c r="A214" s="1203"/>
      <c r="B214" s="1203"/>
      <c r="C214" s="1203"/>
      <c r="D214" s="1203"/>
      <c r="E214" s="1203"/>
      <c r="F214" s="1203"/>
      <c r="G214" s="1203"/>
      <c r="H214" s="1203"/>
      <c r="I214" s="1203"/>
      <c r="J214" s="1203"/>
      <c r="K214" s="1203"/>
      <c r="L214" s="1203"/>
      <c r="M214" s="1203"/>
      <c r="N214" s="1203"/>
      <c r="O214" s="1203"/>
      <c r="P214" s="1203"/>
      <c r="Q214" s="1203"/>
      <c r="R214" s="1203"/>
      <c r="S214" s="1203"/>
      <c r="T214" s="1203"/>
      <c r="U214" s="1203"/>
      <c r="V214" s="1203"/>
      <c r="W214" s="1203"/>
      <c r="X214" s="1203"/>
      <c r="Y214" s="1203"/>
      <c r="Z214" s="1203"/>
      <c r="AA214" s="1203"/>
      <c r="AB214" s="1203"/>
      <c r="AC214" s="1203"/>
      <c r="AD214" s="1203"/>
      <c r="AE214" s="1203"/>
      <c r="AF214" s="1203"/>
      <c r="AG214" s="1203"/>
      <c r="AH214" s="1203"/>
      <c r="AI214" s="1203"/>
      <c r="AJ214" s="1203"/>
      <c r="AK214" s="1203"/>
      <c r="AL214" s="1203"/>
      <c r="AM214" s="1203"/>
      <c r="AN214" s="1203"/>
      <c r="AO214" s="1203"/>
      <c r="AP214" s="1203"/>
      <c r="AQ214" s="1203"/>
      <c r="AR214" s="1203"/>
      <c r="AS214" s="1203"/>
      <c r="AT214" s="1203"/>
      <c r="AU214" s="1203"/>
      <c r="AV214" s="1203"/>
      <c r="AW214" s="1203"/>
      <c r="AX214" s="1203"/>
      <c r="AY214" s="1203"/>
      <c r="AZ214" s="1203"/>
      <c r="BA214" s="1203"/>
      <c r="BB214" s="1203"/>
      <c r="BC214" s="1203"/>
      <c r="BD214" s="1203"/>
      <c r="BE214" s="1210"/>
    </row>
    <row r="215" spans="1:57" ht="15.75" customHeight="1" thickBot="1">
      <c r="A215" s="1203"/>
      <c r="B215" s="1203"/>
      <c r="C215" s="1203"/>
      <c r="D215" s="1203"/>
      <c r="E215" s="1203"/>
      <c r="F215" s="1203"/>
      <c r="G215" s="1203"/>
      <c r="H215" s="1203"/>
      <c r="I215" s="1203"/>
      <c r="J215" s="1203"/>
      <c r="K215" s="1203"/>
      <c r="L215" s="1203"/>
      <c r="M215" s="1203"/>
      <c r="N215" s="1203"/>
      <c r="O215" s="1203"/>
      <c r="P215" s="1203"/>
      <c r="Q215" s="1203"/>
      <c r="R215" s="1203"/>
      <c r="S215" s="1203"/>
      <c r="T215" s="1203"/>
      <c r="U215" s="1203"/>
      <c r="V215" s="1203"/>
      <c r="W215" s="1203"/>
      <c r="X215" s="1203"/>
      <c r="Y215" s="1203"/>
      <c r="Z215" s="1203"/>
      <c r="AA215" s="1203"/>
      <c r="AB215" s="1203"/>
      <c r="AC215" s="1203"/>
      <c r="AD215" s="1203"/>
      <c r="AE215" s="1203"/>
      <c r="AF215" s="1203"/>
      <c r="AG215" s="1203"/>
      <c r="AH215" s="1203"/>
      <c r="AI215" s="1203"/>
      <c r="AJ215" s="1203"/>
      <c r="AK215" s="1203"/>
      <c r="AL215" s="1203"/>
      <c r="AM215" s="1203"/>
      <c r="AN215" s="1203"/>
      <c r="AO215" s="1203"/>
      <c r="AP215" s="1203"/>
      <c r="AQ215" s="1203"/>
      <c r="AR215" s="1203"/>
      <c r="AS215" s="1203"/>
      <c r="AT215" s="1203"/>
      <c r="AU215" s="1203"/>
      <c r="AV215" s="1203"/>
      <c r="AW215" s="1203"/>
      <c r="AX215" s="1203"/>
      <c r="AY215" s="1203"/>
      <c r="AZ215" s="1203"/>
      <c r="BA215" s="1203"/>
      <c r="BB215" s="1203"/>
      <c r="BC215" s="1203"/>
      <c r="BD215" s="1203"/>
      <c r="BE215" s="1210"/>
    </row>
    <row r="216" spans="1:57" ht="15.75" customHeight="1">
      <c r="A216" s="1203"/>
      <c r="B216" s="1817" t="s">
        <v>2126</v>
      </c>
      <c r="C216" s="1743"/>
      <c r="D216" s="1743"/>
      <c r="E216" s="1743"/>
      <c r="F216" s="1743"/>
      <c r="G216" s="1743"/>
      <c r="H216" s="1743"/>
      <c r="I216" s="1743"/>
      <c r="J216" s="1743"/>
      <c r="K216" s="1743"/>
      <c r="L216" s="1743"/>
      <c r="M216" s="1743"/>
      <c r="N216" s="1743"/>
      <c r="O216" s="1743"/>
      <c r="P216" s="1743"/>
      <c r="Q216" s="1743"/>
      <c r="R216" s="1743"/>
      <c r="S216" s="1743"/>
      <c r="T216" s="1743"/>
      <c r="U216" s="1743"/>
      <c r="V216" s="1743"/>
      <c r="W216" s="1743"/>
      <c r="X216" s="1743"/>
      <c r="Y216" s="1743"/>
      <c r="Z216" s="1743"/>
      <c r="AA216" s="1743"/>
      <c r="AB216" s="1743"/>
      <c r="AC216" s="1743"/>
      <c r="AD216" s="1743"/>
      <c r="AE216" s="1743"/>
      <c r="AF216" s="1743"/>
      <c r="AG216" s="1743"/>
      <c r="AH216" s="1743"/>
      <c r="AI216" s="1743"/>
      <c r="AJ216" s="1743"/>
      <c r="AK216" s="1743"/>
      <c r="AL216" s="1743"/>
      <c r="AM216" s="1743"/>
      <c r="AN216" s="1743"/>
      <c r="AO216" s="1743"/>
      <c r="AP216" s="1743"/>
      <c r="AQ216" s="1743"/>
      <c r="AR216" s="1743"/>
      <c r="AS216" s="1743"/>
      <c r="AT216" s="1743"/>
      <c r="AU216" s="1743"/>
      <c r="AV216" s="1743"/>
      <c r="AW216" s="1743"/>
      <c r="AX216" s="1743"/>
      <c r="AY216" s="1743"/>
      <c r="AZ216" s="1743"/>
      <c r="BA216" s="1743"/>
      <c r="BB216" s="1743"/>
      <c r="BC216" s="1743"/>
      <c r="BD216" s="1744"/>
      <c r="BE216" s="1210"/>
    </row>
    <row r="217" spans="1:57" ht="15.75" customHeight="1">
      <c r="A217" s="1203"/>
      <c r="B217" s="1818"/>
      <c r="C217" s="1702"/>
      <c r="D217" s="1702"/>
      <c r="E217" s="1702"/>
      <c r="F217" s="1702"/>
      <c r="G217" s="1702"/>
      <c r="H217" s="1702"/>
      <c r="I217" s="1702"/>
      <c r="J217" s="1702"/>
      <c r="K217" s="1702"/>
      <c r="L217" s="1702"/>
      <c r="M217" s="1702"/>
      <c r="N217" s="1702"/>
      <c r="O217" s="1702"/>
      <c r="P217" s="1702"/>
      <c r="Q217" s="1702"/>
      <c r="R217" s="1702"/>
      <c r="S217" s="1702"/>
      <c r="T217" s="1702"/>
      <c r="U217" s="1702"/>
      <c r="V217" s="1702"/>
      <c r="W217" s="1702"/>
      <c r="X217" s="1702"/>
      <c r="Y217" s="1702"/>
      <c r="Z217" s="1702"/>
      <c r="AA217" s="1702"/>
      <c r="AB217" s="1702"/>
      <c r="AC217" s="1702"/>
      <c r="AD217" s="1702"/>
      <c r="AE217" s="1702"/>
      <c r="AF217" s="1702"/>
      <c r="AG217" s="1702"/>
      <c r="AH217" s="1702"/>
      <c r="AI217" s="1702"/>
      <c r="AJ217" s="1702"/>
      <c r="AK217" s="1702"/>
      <c r="AL217" s="1702"/>
      <c r="AM217" s="1702"/>
      <c r="AN217" s="1702"/>
      <c r="AO217" s="1702"/>
      <c r="AP217" s="1702"/>
      <c r="AQ217" s="1702"/>
      <c r="AR217" s="1702"/>
      <c r="AS217" s="1702"/>
      <c r="AT217" s="1702"/>
      <c r="AU217" s="1702"/>
      <c r="AV217" s="1702"/>
      <c r="AW217" s="1702"/>
      <c r="AX217" s="1702"/>
      <c r="AY217" s="1702"/>
      <c r="AZ217" s="1702"/>
      <c r="BA217" s="1702"/>
      <c r="BB217" s="1702"/>
      <c r="BC217" s="1702"/>
      <c r="BD217" s="1793"/>
      <c r="BE217" s="1210"/>
    </row>
    <row r="218" spans="1:57" ht="15.75" customHeight="1">
      <c r="A218" s="1203"/>
      <c r="B218" s="1822" t="s">
        <v>2127</v>
      </c>
      <c r="C218" s="1702"/>
      <c r="D218" s="1702"/>
      <c r="E218" s="1702"/>
      <c r="F218" s="1702"/>
      <c r="G218" s="1702"/>
      <c r="H218" s="1702"/>
      <c r="I218" s="1702"/>
      <c r="J218" s="1702"/>
      <c r="K218" s="1702"/>
      <c r="L218" s="1702"/>
      <c r="M218" s="1702"/>
      <c r="N218" s="1702"/>
      <c r="O218" s="1702"/>
      <c r="P218" s="1702"/>
      <c r="Q218" s="1702"/>
      <c r="R218" s="1702"/>
      <c r="S218" s="1702"/>
      <c r="T218" s="1702"/>
      <c r="U218" s="1702"/>
      <c r="V218" s="1702"/>
      <c r="W218" s="1702"/>
      <c r="X218" s="1702"/>
      <c r="Y218" s="1702"/>
      <c r="Z218" s="1702"/>
      <c r="AA218" s="1702"/>
      <c r="AB218" s="1702"/>
      <c r="AC218" s="1702"/>
      <c r="AD218" s="1702"/>
      <c r="AE218" s="1702"/>
      <c r="AF218" s="1702"/>
      <c r="AG218" s="1702"/>
      <c r="AH218" s="1702"/>
      <c r="AI218" s="1702"/>
      <c r="AJ218" s="1702"/>
      <c r="AK218" s="1702"/>
      <c r="AL218" s="1702"/>
      <c r="AM218" s="1702"/>
      <c r="AN218" s="1702"/>
      <c r="AO218" s="1702"/>
      <c r="AP218" s="1702"/>
      <c r="AQ218" s="1702"/>
      <c r="AR218" s="1702"/>
      <c r="AS218" s="1702"/>
      <c r="AT218" s="1702"/>
      <c r="AU218" s="1702"/>
      <c r="AV218" s="1702"/>
      <c r="AW218" s="1702"/>
      <c r="AX218" s="1702"/>
      <c r="AY218" s="1702"/>
      <c r="AZ218" s="1702"/>
      <c r="BA218" s="1702"/>
      <c r="BB218" s="1702"/>
      <c r="BC218" s="1702"/>
      <c r="BD218" s="1793"/>
      <c r="BE218" s="1210"/>
    </row>
    <row r="219" spans="1:57" ht="15.75" customHeight="1">
      <c r="A219" s="1203"/>
      <c r="B219" s="1822" t="s">
        <v>2128</v>
      </c>
      <c r="C219" s="1702"/>
      <c r="D219" s="1702"/>
      <c r="E219" s="1702"/>
      <c r="F219" s="1702"/>
      <c r="G219" s="1702"/>
      <c r="H219" s="1702"/>
      <c r="I219" s="1702"/>
      <c r="J219" s="1702"/>
      <c r="K219" s="1702"/>
      <c r="L219" s="1702"/>
      <c r="M219" s="1702"/>
      <c r="N219" s="1702"/>
      <c r="O219" s="1702"/>
      <c r="P219" s="1702"/>
      <c r="Q219" s="1702"/>
      <c r="R219" s="1702"/>
      <c r="S219" s="1702"/>
      <c r="T219" s="1702"/>
      <c r="U219" s="1702"/>
      <c r="V219" s="1702"/>
      <c r="W219" s="1702"/>
      <c r="X219" s="1702"/>
      <c r="Y219" s="1702"/>
      <c r="Z219" s="1702"/>
      <c r="AA219" s="1702"/>
      <c r="AB219" s="1702"/>
      <c r="AC219" s="1702"/>
      <c r="AD219" s="1702"/>
      <c r="AE219" s="1702"/>
      <c r="AF219" s="1702"/>
      <c r="AG219" s="1702"/>
      <c r="AH219" s="1702"/>
      <c r="AI219" s="1702"/>
      <c r="AJ219" s="1702"/>
      <c r="AK219" s="1702"/>
      <c r="AL219" s="1702"/>
      <c r="AM219" s="1702"/>
      <c r="AN219" s="1702"/>
      <c r="AO219" s="1702"/>
      <c r="AP219" s="1702"/>
      <c r="AQ219" s="1702"/>
      <c r="AR219" s="1702"/>
      <c r="AS219" s="1702"/>
      <c r="AT219" s="1702"/>
      <c r="AU219" s="1702"/>
      <c r="AV219" s="1702"/>
      <c r="AW219" s="1702"/>
      <c r="AX219" s="1702"/>
      <c r="AY219" s="1702"/>
      <c r="AZ219" s="1702"/>
      <c r="BA219" s="1702"/>
      <c r="BB219" s="1702"/>
      <c r="BC219" s="1702"/>
      <c r="BD219" s="1793"/>
      <c r="BE219" s="1210"/>
    </row>
    <row r="220" spans="1:57" ht="15.75" customHeight="1">
      <c r="A220" s="1203"/>
      <c r="B220" s="1202"/>
      <c r="C220" s="1203"/>
      <c r="D220" s="1203"/>
      <c r="E220" s="1203"/>
      <c r="F220" s="1203"/>
      <c r="G220" s="1203"/>
      <c r="H220" s="1203"/>
      <c r="I220" s="1203"/>
      <c r="J220" s="1203"/>
      <c r="K220" s="1203"/>
      <c r="L220" s="1203"/>
      <c r="M220" s="1203"/>
      <c r="N220" s="1203"/>
      <c r="O220" s="1203"/>
      <c r="P220" s="1203"/>
      <c r="Q220" s="1203"/>
      <c r="R220" s="1203"/>
      <c r="S220" s="1203"/>
      <c r="T220" s="1203"/>
      <c r="U220" s="1203"/>
      <c r="V220" s="1203"/>
      <c r="W220" s="1203"/>
      <c r="X220" s="1203"/>
      <c r="Y220" s="1203"/>
      <c r="Z220" s="1203"/>
      <c r="AA220" s="1203"/>
      <c r="AB220" s="1203"/>
      <c r="AC220" s="1203"/>
      <c r="AD220" s="1203"/>
      <c r="AE220" s="1203"/>
      <c r="AF220" s="1203"/>
      <c r="AG220" s="1203"/>
      <c r="AH220" s="1203"/>
      <c r="AI220" s="1203"/>
      <c r="AJ220" s="1203"/>
      <c r="AK220" s="1203"/>
      <c r="AL220" s="1203"/>
      <c r="AM220" s="1203"/>
      <c r="AN220" s="1203"/>
      <c r="AO220" s="1203"/>
      <c r="AP220" s="1203"/>
      <c r="AQ220" s="1203"/>
      <c r="AR220" s="1203"/>
      <c r="AS220" s="1203"/>
      <c r="AT220" s="1203"/>
      <c r="AU220" s="1203"/>
      <c r="AV220" s="1203"/>
      <c r="AW220" s="1203"/>
      <c r="AX220" s="1203"/>
      <c r="AY220" s="1203"/>
      <c r="AZ220" s="1203"/>
      <c r="BA220" s="1203"/>
      <c r="BB220" s="1203"/>
      <c r="BC220" s="1203"/>
      <c r="BD220" s="1210"/>
      <c r="BE220" s="1210"/>
    </row>
    <row r="221" spans="1:57" ht="15.75" customHeight="1">
      <c r="A221" s="1203"/>
      <c r="B221" s="1885" t="s">
        <v>2129</v>
      </c>
      <c r="C221" s="1702"/>
      <c r="D221" s="1702"/>
      <c r="E221" s="1702"/>
      <c r="F221" s="1702"/>
      <c r="G221" s="1702"/>
      <c r="H221" s="1702"/>
      <c r="I221" s="1702"/>
      <c r="J221" s="1702"/>
      <c r="K221" s="1702"/>
      <c r="L221" s="1702"/>
      <c r="M221" s="1702"/>
      <c r="N221" s="1702"/>
      <c r="O221" s="1702"/>
      <c r="P221" s="1702"/>
      <c r="Q221" s="1702"/>
      <c r="R221" s="1702"/>
      <c r="S221" s="1702"/>
      <c r="T221" s="1702"/>
      <c r="U221" s="1702"/>
      <c r="V221" s="1702"/>
      <c r="W221" s="1702"/>
      <c r="X221" s="1702"/>
      <c r="Y221" s="1702"/>
      <c r="Z221" s="1702"/>
      <c r="AA221" s="1702"/>
      <c r="AB221" s="1702"/>
      <c r="AC221" s="1702"/>
      <c r="AD221" s="1702"/>
      <c r="AE221" s="1702"/>
      <c r="AF221" s="1702"/>
      <c r="AG221" s="1702"/>
      <c r="AH221" s="1702"/>
      <c r="AI221" s="1702"/>
      <c r="AJ221" s="1702"/>
      <c r="AK221" s="1702"/>
      <c r="AL221" s="1702"/>
      <c r="AM221" s="1702"/>
      <c r="AN221" s="1702"/>
      <c r="AO221" s="1702"/>
      <c r="AP221" s="1702"/>
      <c r="AQ221" s="1702"/>
      <c r="AR221" s="1702"/>
      <c r="AS221" s="1702"/>
      <c r="AT221" s="1702"/>
      <c r="AU221" s="1702"/>
      <c r="AV221" s="1702"/>
      <c r="AW221" s="1702"/>
      <c r="AX221" s="1702"/>
      <c r="AY221" s="1702"/>
      <c r="AZ221" s="1702"/>
      <c r="BA221" s="1702"/>
      <c r="BB221" s="1702"/>
      <c r="BC221" s="1702"/>
      <c r="BD221" s="1793"/>
      <c r="BE221" s="1210"/>
    </row>
    <row r="222" spans="1:57" ht="15.75" customHeight="1">
      <c r="A222" s="1203"/>
      <c r="B222" s="1248"/>
      <c r="C222" s="1203"/>
      <c r="D222" s="1203"/>
      <c r="E222" s="1203"/>
      <c r="F222" s="1203"/>
      <c r="G222" s="1203"/>
      <c r="H222" s="1203"/>
      <c r="I222" s="1203"/>
      <c r="J222" s="1203"/>
      <c r="K222" s="1203"/>
      <c r="L222" s="1203"/>
      <c r="M222" s="1203"/>
      <c r="N222" s="1203"/>
      <c r="O222" s="1203"/>
      <c r="P222" s="1203"/>
      <c r="Q222" s="1203"/>
      <c r="R222" s="1203"/>
      <c r="S222" s="1203"/>
      <c r="T222" s="1203"/>
      <c r="U222" s="1203"/>
      <c r="V222" s="1203"/>
      <c r="W222" s="1203"/>
      <c r="X222" s="1203"/>
      <c r="Y222" s="1203"/>
      <c r="Z222" s="1203"/>
      <c r="AA222" s="1203"/>
      <c r="AB222" s="1203"/>
      <c r="AC222" s="1203"/>
      <c r="AD222" s="1203"/>
      <c r="AE222" s="1203"/>
      <c r="AF222" s="1203"/>
      <c r="AG222" s="1203"/>
      <c r="AH222" s="1203"/>
      <c r="AI222" s="1203"/>
      <c r="AJ222" s="1203"/>
      <c r="AK222" s="1203"/>
      <c r="AL222" s="1203"/>
      <c r="AM222" s="1203"/>
      <c r="AN222" s="1203"/>
      <c r="AO222" s="1203"/>
      <c r="AP222" s="1203"/>
      <c r="AQ222" s="1203"/>
      <c r="AR222" s="1203"/>
      <c r="AS222" s="1203"/>
      <c r="AT222" s="1203"/>
      <c r="AU222" s="1203"/>
      <c r="AV222" s="1203"/>
      <c r="AW222" s="1203"/>
      <c r="AX222" s="1203"/>
      <c r="AY222" s="1203"/>
      <c r="AZ222" s="1203"/>
      <c r="BA222" s="1203"/>
      <c r="BB222" s="1203"/>
      <c r="BC222" s="1203"/>
      <c r="BD222" s="1210"/>
      <c r="BE222" s="1210"/>
    </row>
    <row r="223" spans="1:57" ht="15.75" customHeight="1">
      <c r="A223" s="1203"/>
      <c r="B223" s="1249"/>
      <c r="C223" s="1203"/>
      <c r="D223" s="1203"/>
      <c r="E223" s="1203"/>
      <c r="F223" s="1203"/>
      <c r="G223" s="1203"/>
      <c r="H223" s="1204" t="s">
        <v>2130</v>
      </c>
      <c r="I223" s="1203"/>
      <c r="J223" s="1203"/>
      <c r="K223" s="1203"/>
      <c r="L223" s="1203"/>
      <c r="M223" s="1203"/>
      <c r="N223" s="1203"/>
      <c r="O223" s="1203"/>
      <c r="P223" s="1203"/>
      <c r="Q223" s="1203"/>
      <c r="R223" s="1203"/>
      <c r="S223" s="1203"/>
      <c r="T223" s="1203"/>
      <c r="U223" s="1203"/>
      <c r="V223" s="1203"/>
      <c r="W223" s="1203"/>
      <c r="X223" s="1203"/>
      <c r="Y223" s="1203"/>
      <c r="Z223" s="1203"/>
      <c r="AA223" s="1203"/>
      <c r="AB223" s="1203"/>
      <c r="AC223" s="1203"/>
      <c r="AD223" s="1203"/>
      <c r="AE223" s="1203"/>
      <c r="AF223" s="1203"/>
      <c r="AG223" s="1203"/>
      <c r="AH223" s="1203"/>
      <c r="AI223" s="1203"/>
      <c r="AJ223" s="1203"/>
      <c r="AK223" s="1203"/>
      <c r="AL223" s="1203"/>
      <c r="AM223" s="1203"/>
      <c r="AN223" s="1203"/>
      <c r="AO223" s="1203"/>
      <c r="AP223" s="1203"/>
      <c r="AQ223" s="1203"/>
      <c r="AR223" s="1203"/>
      <c r="AS223" s="1203"/>
      <c r="AT223" s="1203"/>
      <c r="AU223" s="1203"/>
      <c r="AV223" s="1203"/>
      <c r="AW223" s="1203"/>
      <c r="AX223" s="1203"/>
      <c r="AY223" s="1203"/>
      <c r="AZ223" s="1203"/>
      <c r="BA223" s="1203"/>
      <c r="BB223" s="1203"/>
      <c r="BC223" s="1203"/>
      <c r="BD223" s="1210"/>
      <c r="BE223" s="1210"/>
    </row>
    <row r="224" spans="1:57" ht="15.75" customHeight="1">
      <c r="A224" s="1203"/>
      <c r="B224" s="1249"/>
      <c r="C224" s="1203"/>
      <c r="D224" s="1203"/>
      <c r="E224" s="1203"/>
      <c r="F224" s="1203"/>
      <c r="G224" s="1203"/>
      <c r="H224" s="1203"/>
      <c r="I224" s="1203"/>
      <c r="J224" s="1203"/>
      <c r="K224" s="1203"/>
      <c r="L224" s="1203"/>
      <c r="M224" s="1203"/>
      <c r="N224" s="1203"/>
      <c r="O224" s="1203"/>
      <c r="P224" s="1203"/>
      <c r="Q224" s="1203"/>
      <c r="R224" s="1203"/>
      <c r="S224" s="1203"/>
      <c r="T224" s="1203"/>
      <c r="U224" s="1203"/>
      <c r="V224" s="1203"/>
      <c r="W224" s="1203"/>
      <c r="X224" s="1203"/>
      <c r="Y224" s="1203"/>
      <c r="Z224" s="1203"/>
      <c r="AA224" s="1203"/>
      <c r="AB224" s="1203"/>
      <c r="AC224" s="1203"/>
      <c r="AD224" s="1203"/>
      <c r="AE224" s="1203"/>
      <c r="AF224" s="1203"/>
      <c r="AG224" s="1203"/>
      <c r="AH224" s="1203"/>
      <c r="AI224" s="1203"/>
      <c r="AJ224" s="1203"/>
      <c r="AK224" s="1203"/>
      <c r="AL224" s="1203"/>
      <c r="AM224" s="1203"/>
      <c r="AN224" s="1203"/>
      <c r="AO224" s="1203"/>
      <c r="AP224" s="1203"/>
      <c r="AQ224" s="1203"/>
      <c r="AR224" s="1203"/>
      <c r="AS224" s="1203"/>
      <c r="AT224" s="1203"/>
      <c r="AU224" s="1203"/>
      <c r="AV224" s="1203"/>
      <c r="AW224" s="1203"/>
      <c r="AX224" s="1203"/>
      <c r="AY224" s="1203"/>
      <c r="AZ224" s="1203"/>
      <c r="BA224" s="1203"/>
      <c r="BB224" s="1203"/>
      <c r="BC224" s="1203"/>
      <c r="BD224" s="1210"/>
      <c r="BE224" s="1210"/>
    </row>
    <row r="225" spans="1:57" ht="15.75" customHeight="1">
      <c r="A225" s="1203"/>
      <c r="B225" s="1249"/>
      <c r="C225" s="1203"/>
      <c r="D225" s="1203"/>
      <c r="E225" s="1203"/>
      <c r="F225" s="1203"/>
      <c r="G225" s="1203"/>
      <c r="H225" s="1810" t="s">
        <v>2131</v>
      </c>
      <c r="I225" s="1702"/>
      <c r="J225" s="1702"/>
      <c r="K225" s="1702"/>
      <c r="L225" s="1702"/>
      <c r="M225" s="1702"/>
      <c r="N225" s="1702"/>
      <c r="O225" s="1702"/>
      <c r="P225" s="1702"/>
      <c r="Q225" s="1702"/>
      <c r="R225" s="1702"/>
      <c r="S225" s="1702"/>
      <c r="T225" s="1702"/>
      <c r="U225" s="1702"/>
      <c r="V225" s="1702"/>
      <c r="W225" s="1702"/>
      <c r="X225" s="1702"/>
      <c r="Y225" s="1702"/>
      <c r="Z225" s="1702"/>
      <c r="AA225" s="1702"/>
      <c r="AB225" s="1702"/>
      <c r="AC225" s="1702"/>
      <c r="AD225" s="1702"/>
      <c r="AE225" s="1702"/>
      <c r="AF225" s="1702"/>
      <c r="AG225" s="1702"/>
      <c r="AH225" s="1702"/>
      <c r="AI225" s="1702"/>
      <c r="AJ225" s="1702"/>
      <c r="AK225" s="1702"/>
      <c r="AL225" s="1702"/>
      <c r="AM225" s="1702"/>
      <c r="AN225" s="1702"/>
      <c r="AO225" s="1702"/>
      <c r="AP225" s="1702"/>
      <c r="AQ225" s="1702"/>
      <c r="AR225" s="1702"/>
      <c r="AS225" s="1702"/>
      <c r="AT225" s="1702"/>
      <c r="AU225" s="1702"/>
      <c r="AV225" s="1702"/>
      <c r="AW225" s="1702"/>
      <c r="AX225" s="1702"/>
      <c r="AY225" s="1702"/>
      <c r="AZ225" s="1203"/>
      <c r="BA225" s="1203"/>
      <c r="BB225" s="1203"/>
      <c r="BC225" s="1203"/>
      <c r="BD225" s="1210"/>
      <c r="BE225" s="1210"/>
    </row>
    <row r="226" spans="1:57" ht="15.75" customHeight="1">
      <c r="A226" s="1203"/>
      <c r="B226" s="1249"/>
      <c r="C226" s="1203"/>
      <c r="D226" s="1203"/>
      <c r="E226" s="1203"/>
      <c r="F226" s="1203"/>
      <c r="G226" s="1203"/>
      <c r="H226" s="1203"/>
      <c r="I226" s="1203"/>
      <c r="J226" s="1203"/>
      <c r="K226" s="1203"/>
      <c r="L226" s="1203"/>
      <c r="M226" s="1203"/>
      <c r="N226" s="1203"/>
      <c r="O226" s="1203"/>
      <c r="P226" s="1203"/>
      <c r="Q226" s="1203"/>
      <c r="R226" s="1203"/>
      <c r="S226" s="1203"/>
      <c r="T226" s="1203"/>
      <c r="U226" s="1203"/>
      <c r="V226" s="1203"/>
      <c r="W226" s="1203"/>
      <c r="X226" s="1203"/>
      <c r="Y226" s="1203"/>
      <c r="Z226" s="1203"/>
      <c r="AA226" s="1203"/>
      <c r="AB226" s="1203"/>
      <c r="AC226" s="1203"/>
      <c r="AD226" s="1203"/>
      <c r="AE226" s="1203"/>
      <c r="AF226" s="1203"/>
      <c r="AG226" s="1203"/>
      <c r="AH226" s="1203"/>
      <c r="AI226" s="1203"/>
      <c r="AJ226" s="1203"/>
      <c r="AK226" s="1203"/>
      <c r="AL226" s="1203"/>
      <c r="AM226" s="1203"/>
      <c r="AN226" s="1203"/>
      <c r="AO226" s="1203"/>
      <c r="AP226" s="1203"/>
      <c r="AQ226" s="1203"/>
      <c r="AR226" s="1203"/>
      <c r="AS226" s="1203"/>
      <c r="AT226" s="1203"/>
      <c r="AU226" s="1203"/>
      <c r="AV226" s="1203"/>
      <c r="AW226" s="1203"/>
      <c r="AX226" s="1203"/>
      <c r="AY226" s="1203"/>
      <c r="AZ226" s="1203"/>
      <c r="BA226" s="1203"/>
      <c r="BB226" s="1203"/>
      <c r="BC226" s="1203"/>
      <c r="BD226" s="1210"/>
      <c r="BE226" s="1210"/>
    </row>
    <row r="227" spans="1:57" ht="15.75" customHeight="1">
      <c r="A227" s="1203"/>
      <c r="B227" s="1249"/>
      <c r="C227" s="1203"/>
      <c r="D227" s="1203"/>
      <c r="E227" s="1203"/>
      <c r="F227" s="1203"/>
      <c r="G227" s="1203"/>
      <c r="H227" s="1815" t="s">
        <v>2132</v>
      </c>
      <c r="I227" s="1702"/>
      <c r="J227" s="1702"/>
      <c r="K227" s="1702"/>
      <c r="L227" s="1702"/>
      <c r="M227" s="1702"/>
      <c r="N227" s="1702"/>
      <c r="O227" s="1702"/>
      <c r="P227" s="1702"/>
      <c r="Q227" s="1702"/>
      <c r="R227" s="1702"/>
      <c r="S227" s="1702"/>
      <c r="T227" s="1702"/>
      <c r="U227" s="1702"/>
      <c r="V227" s="1702"/>
      <c r="W227" s="1702"/>
      <c r="X227" s="1702"/>
      <c r="Y227" s="1702"/>
      <c r="Z227" s="1702"/>
      <c r="AA227" s="1702"/>
      <c r="AB227" s="1702"/>
      <c r="AC227" s="1702"/>
      <c r="AD227" s="1702"/>
      <c r="AE227" s="1702"/>
      <c r="AF227" s="1702"/>
      <c r="AG227" s="1702"/>
      <c r="AH227" s="1702"/>
      <c r="AI227" s="1702"/>
      <c r="AJ227" s="1702"/>
      <c r="AK227" s="1702"/>
      <c r="AL227" s="1702"/>
      <c r="AM227" s="1702"/>
      <c r="AN227" s="1702"/>
      <c r="AO227" s="1702"/>
      <c r="AP227" s="1702"/>
      <c r="AQ227" s="1702"/>
      <c r="AR227" s="1702"/>
      <c r="AS227" s="1702"/>
      <c r="AT227" s="1702"/>
      <c r="AU227" s="1702"/>
      <c r="AV227" s="1702"/>
      <c r="AW227" s="1702"/>
      <c r="AX227" s="1702"/>
      <c r="AY227" s="1702"/>
      <c r="AZ227" s="1702"/>
      <c r="BA227" s="1203"/>
      <c r="BB227" s="1203"/>
      <c r="BC227" s="1203"/>
      <c r="BD227" s="1210"/>
      <c r="BE227" s="1210"/>
    </row>
    <row r="228" spans="1:57" ht="15.75" customHeight="1">
      <c r="A228" s="1203"/>
      <c r="B228" s="1202"/>
      <c r="C228" s="1203"/>
      <c r="D228" s="1203"/>
      <c r="E228" s="1203"/>
      <c r="F228" s="1203"/>
      <c r="G228" s="1203"/>
      <c r="H228" s="1702"/>
      <c r="I228" s="1702"/>
      <c r="J228" s="1702"/>
      <c r="K228" s="1702"/>
      <c r="L228" s="1702"/>
      <c r="M228" s="1702"/>
      <c r="N228" s="1702"/>
      <c r="O228" s="1702"/>
      <c r="P228" s="1702"/>
      <c r="Q228" s="1702"/>
      <c r="R228" s="1702"/>
      <c r="S228" s="1702"/>
      <c r="T228" s="1702"/>
      <c r="U228" s="1702"/>
      <c r="V228" s="1702"/>
      <c r="W228" s="1702"/>
      <c r="X228" s="1702"/>
      <c r="Y228" s="1702"/>
      <c r="Z228" s="1702"/>
      <c r="AA228" s="1702"/>
      <c r="AB228" s="1702"/>
      <c r="AC228" s="1702"/>
      <c r="AD228" s="1702"/>
      <c r="AE228" s="1702"/>
      <c r="AF228" s="1702"/>
      <c r="AG228" s="1702"/>
      <c r="AH228" s="1702"/>
      <c r="AI228" s="1702"/>
      <c r="AJ228" s="1702"/>
      <c r="AK228" s="1702"/>
      <c r="AL228" s="1702"/>
      <c r="AM228" s="1702"/>
      <c r="AN228" s="1702"/>
      <c r="AO228" s="1702"/>
      <c r="AP228" s="1702"/>
      <c r="AQ228" s="1702"/>
      <c r="AR228" s="1702"/>
      <c r="AS228" s="1702"/>
      <c r="AT228" s="1702"/>
      <c r="AU228" s="1702"/>
      <c r="AV228" s="1702"/>
      <c r="AW228" s="1702"/>
      <c r="AX228" s="1702"/>
      <c r="AY228" s="1702"/>
      <c r="AZ228" s="1702"/>
      <c r="BA228" s="1203"/>
      <c r="BB228" s="1203"/>
      <c r="BC228" s="1203"/>
      <c r="BD228" s="1210"/>
      <c r="BE228" s="1210"/>
    </row>
    <row r="229" spans="1:57" ht="15.75" customHeight="1">
      <c r="A229" s="1203"/>
      <c r="B229" s="1202"/>
      <c r="C229" s="1203"/>
      <c r="D229" s="1203"/>
      <c r="E229" s="1203"/>
      <c r="F229" s="1203"/>
      <c r="G229" s="1203"/>
      <c r="H229" s="1702"/>
      <c r="I229" s="1702"/>
      <c r="J229" s="1702"/>
      <c r="K229" s="1702"/>
      <c r="L229" s="1702"/>
      <c r="M229" s="1702"/>
      <c r="N229" s="1702"/>
      <c r="O229" s="1702"/>
      <c r="P229" s="1702"/>
      <c r="Q229" s="1702"/>
      <c r="R229" s="1702"/>
      <c r="S229" s="1702"/>
      <c r="T229" s="1702"/>
      <c r="U229" s="1702"/>
      <c r="V229" s="1702"/>
      <c r="W229" s="1702"/>
      <c r="X229" s="1702"/>
      <c r="Y229" s="1702"/>
      <c r="Z229" s="1702"/>
      <c r="AA229" s="1702"/>
      <c r="AB229" s="1702"/>
      <c r="AC229" s="1702"/>
      <c r="AD229" s="1702"/>
      <c r="AE229" s="1702"/>
      <c r="AF229" s="1702"/>
      <c r="AG229" s="1702"/>
      <c r="AH229" s="1702"/>
      <c r="AI229" s="1702"/>
      <c r="AJ229" s="1702"/>
      <c r="AK229" s="1702"/>
      <c r="AL229" s="1702"/>
      <c r="AM229" s="1702"/>
      <c r="AN229" s="1702"/>
      <c r="AO229" s="1702"/>
      <c r="AP229" s="1702"/>
      <c r="AQ229" s="1702"/>
      <c r="AR229" s="1702"/>
      <c r="AS229" s="1702"/>
      <c r="AT229" s="1702"/>
      <c r="AU229" s="1702"/>
      <c r="AV229" s="1702"/>
      <c r="AW229" s="1702"/>
      <c r="AX229" s="1702"/>
      <c r="AY229" s="1702"/>
      <c r="AZ229" s="1702"/>
      <c r="BA229" s="1203"/>
      <c r="BB229" s="1203"/>
      <c r="BC229" s="1203"/>
      <c r="BD229" s="1210"/>
      <c r="BE229" s="1210"/>
    </row>
    <row r="230" spans="1:57" ht="15.75" customHeight="1">
      <c r="A230" s="1203"/>
      <c r="B230" s="1202"/>
      <c r="C230" s="1203"/>
      <c r="D230" s="1203"/>
      <c r="E230" s="1203"/>
      <c r="F230" s="1203"/>
      <c r="G230" s="1203"/>
      <c r="H230" s="1702"/>
      <c r="I230" s="1702"/>
      <c r="J230" s="1702"/>
      <c r="K230" s="1702"/>
      <c r="L230" s="1702"/>
      <c r="M230" s="1702"/>
      <c r="N230" s="1702"/>
      <c r="O230" s="1702"/>
      <c r="P230" s="1702"/>
      <c r="Q230" s="1702"/>
      <c r="R230" s="1702"/>
      <c r="S230" s="1702"/>
      <c r="T230" s="1702"/>
      <c r="U230" s="1702"/>
      <c r="V230" s="1702"/>
      <c r="W230" s="1702"/>
      <c r="X230" s="1702"/>
      <c r="Y230" s="1702"/>
      <c r="Z230" s="1702"/>
      <c r="AA230" s="1702"/>
      <c r="AB230" s="1702"/>
      <c r="AC230" s="1702"/>
      <c r="AD230" s="1702"/>
      <c r="AE230" s="1702"/>
      <c r="AF230" s="1702"/>
      <c r="AG230" s="1702"/>
      <c r="AH230" s="1702"/>
      <c r="AI230" s="1702"/>
      <c r="AJ230" s="1702"/>
      <c r="AK230" s="1702"/>
      <c r="AL230" s="1702"/>
      <c r="AM230" s="1702"/>
      <c r="AN230" s="1702"/>
      <c r="AO230" s="1702"/>
      <c r="AP230" s="1702"/>
      <c r="AQ230" s="1702"/>
      <c r="AR230" s="1702"/>
      <c r="AS230" s="1702"/>
      <c r="AT230" s="1702"/>
      <c r="AU230" s="1702"/>
      <c r="AV230" s="1702"/>
      <c r="AW230" s="1702"/>
      <c r="AX230" s="1702"/>
      <c r="AY230" s="1702"/>
      <c r="AZ230" s="1702"/>
      <c r="BA230" s="1203"/>
      <c r="BB230" s="1203"/>
      <c r="BC230" s="1203"/>
      <c r="BD230" s="1210"/>
      <c r="BE230" s="1210"/>
    </row>
    <row r="231" spans="1:57" ht="15.75" customHeight="1">
      <c r="A231" s="1203"/>
      <c r="B231" s="1202"/>
      <c r="C231" s="1203"/>
      <c r="D231" s="1203"/>
      <c r="E231" s="1203"/>
      <c r="F231" s="1203"/>
      <c r="G231" s="1203"/>
      <c r="H231" s="1203"/>
      <c r="I231" s="1203"/>
      <c r="J231" s="1203"/>
      <c r="K231" s="1203"/>
      <c r="L231" s="1203"/>
      <c r="M231" s="1203"/>
      <c r="N231" s="1203"/>
      <c r="O231" s="1203"/>
      <c r="P231" s="1203"/>
      <c r="Q231" s="1203"/>
      <c r="R231" s="1203"/>
      <c r="S231" s="1203"/>
      <c r="T231" s="1203"/>
      <c r="U231" s="1203"/>
      <c r="V231" s="1203"/>
      <c r="W231" s="1203"/>
      <c r="X231" s="1203"/>
      <c r="Y231" s="1203"/>
      <c r="Z231" s="1203"/>
      <c r="AA231" s="1203"/>
      <c r="AB231" s="1203"/>
      <c r="AC231" s="1203"/>
      <c r="AD231" s="1203"/>
      <c r="AE231" s="1203"/>
      <c r="AF231" s="1203"/>
      <c r="AG231" s="1203"/>
      <c r="AH231" s="1203"/>
      <c r="AI231" s="1203"/>
      <c r="AJ231" s="1203"/>
      <c r="AK231" s="1203"/>
      <c r="AL231" s="1203"/>
      <c r="AM231" s="1203"/>
      <c r="AN231" s="1203"/>
      <c r="AO231" s="1203"/>
      <c r="AP231" s="1203"/>
      <c r="AQ231" s="1203"/>
      <c r="AR231" s="1203"/>
      <c r="AS231" s="1203"/>
      <c r="AT231" s="1203"/>
      <c r="AU231" s="1203"/>
      <c r="AV231" s="1203"/>
      <c r="AW231" s="1203"/>
      <c r="AX231" s="1203"/>
      <c r="AY231" s="1203"/>
      <c r="AZ231" s="1203"/>
      <c r="BA231" s="1203"/>
      <c r="BB231" s="1203"/>
      <c r="BC231" s="1203"/>
      <c r="BD231" s="1210"/>
      <c r="BE231" s="1210"/>
    </row>
    <row r="232" spans="1:57" ht="15.75" customHeight="1" thickBot="1">
      <c r="A232" s="1203"/>
      <c r="B232" s="1250"/>
      <c r="C232" s="1251"/>
      <c r="D232" s="1251"/>
      <c r="E232" s="1251"/>
      <c r="F232" s="1251"/>
      <c r="G232" s="1251"/>
      <c r="H232" s="1858" t="s">
        <v>2133</v>
      </c>
      <c r="I232" s="1688"/>
      <c r="J232" s="1688"/>
      <c r="K232" s="1688"/>
      <c r="L232" s="1688"/>
      <c r="M232" s="1688"/>
      <c r="N232" s="1688"/>
      <c r="O232" s="1688"/>
      <c r="P232" s="1688"/>
      <c r="Q232" s="1688"/>
      <c r="R232" s="1688"/>
      <c r="S232" s="1688"/>
      <c r="T232" s="1688"/>
      <c r="U232" s="1688"/>
      <c r="V232" s="1688"/>
      <c r="W232" s="1688"/>
      <c r="X232" s="1688"/>
      <c r="Y232" s="1688"/>
      <c r="Z232" s="1688"/>
      <c r="AA232" s="1688"/>
      <c r="AB232" s="1688"/>
      <c r="AC232" s="1688"/>
      <c r="AD232" s="1688"/>
      <c r="AE232" s="1688"/>
      <c r="AF232" s="1688"/>
      <c r="AG232" s="1688"/>
      <c r="AH232" s="1688"/>
      <c r="AI232" s="1688"/>
      <c r="AJ232" s="1688"/>
      <c r="AK232" s="1688"/>
      <c r="AL232" s="1688"/>
      <c r="AM232" s="1688"/>
      <c r="AN232" s="1688"/>
      <c r="AO232" s="1688"/>
      <c r="AP232" s="1688"/>
      <c r="AQ232" s="1688"/>
      <c r="AR232" s="1688"/>
      <c r="AS232" s="1688"/>
      <c r="AT232" s="1688"/>
      <c r="AU232" s="1688"/>
      <c r="AV232" s="1688"/>
      <c r="AW232" s="1251"/>
      <c r="AX232" s="1251"/>
      <c r="AY232" s="1251"/>
      <c r="AZ232" s="1251"/>
      <c r="BA232" s="1251"/>
      <c r="BB232" s="1251"/>
      <c r="BC232" s="1251"/>
      <c r="BD232" s="1252"/>
      <c r="BE232" s="1210"/>
    </row>
    <row r="233" spans="1:57" ht="15.75" customHeight="1" thickBot="1">
      <c r="A233" s="1203"/>
      <c r="B233" s="1253"/>
      <c r="C233" s="1254"/>
      <c r="D233" s="1254"/>
      <c r="E233" s="1254"/>
      <c r="F233" s="1254"/>
      <c r="G233" s="1254"/>
      <c r="H233" s="1254"/>
      <c r="I233" s="1254"/>
      <c r="J233" s="1254"/>
      <c r="K233" s="1254"/>
      <c r="L233" s="1254"/>
      <c r="M233" s="1254"/>
      <c r="N233" s="1254"/>
      <c r="O233" s="1254"/>
      <c r="P233" s="1254"/>
      <c r="Q233" s="1254"/>
      <c r="R233" s="1254"/>
      <c r="S233" s="1254"/>
      <c r="T233" s="1254"/>
      <c r="U233" s="1254"/>
      <c r="V233" s="1254"/>
      <c r="W233" s="1254"/>
      <c r="X233" s="1254"/>
      <c r="Y233" s="1254"/>
      <c r="Z233" s="1254"/>
      <c r="AA233" s="1254"/>
      <c r="AB233" s="1254"/>
      <c r="AC233" s="1254"/>
      <c r="AD233" s="1254"/>
      <c r="AE233" s="1254"/>
      <c r="AF233" s="1254"/>
      <c r="AG233" s="1254"/>
      <c r="AH233" s="1254"/>
      <c r="AI233" s="1254"/>
      <c r="AJ233" s="1254"/>
      <c r="AK233" s="1254"/>
      <c r="AL233" s="1254"/>
      <c r="AM233" s="1254"/>
      <c r="AN233" s="1254"/>
      <c r="AO233" s="1254"/>
      <c r="AP233" s="1254"/>
      <c r="AQ233" s="1254"/>
      <c r="AR233" s="1254"/>
      <c r="AS233" s="1254"/>
      <c r="AT233" s="1254"/>
      <c r="AU233" s="1254"/>
      <c r="AV233" s="1254"/>
      <c r="AW233" s="1254"/>
      <c r="AX233" s="1254"/>
      <c r="AY233" s="1254"/>
      <c r="AZ233" s="1254"/>
      <c r="BA233" s="1254"/>
      <c r="BB233" s="1254"/>
      <c r="BC233" s="1254"/>
      <c r="BD233" s="1255"/>
      <c r="BE233" s="1210"/>
    </row>
    <row r="234" spans="1:57" ht="30" customHeight="1" thickBot="1">
      <c r="A234" s="1203"/>
      <c r="B234" s="1253"/>
      <c r="C234" s="1254"/>
      <c r="D234" s="1254"/>
      <c r="E234" s="1254"/>
      <c r="F234" s="1254"/>
      <c r="G234" s="1254"/>
      <c r="H234" s="1701" t="s">
        <v>2134</v>
      </c>
      <c r="I234" s="1702"/>
      <c r="J234" s="1702"/>
      <c r="K234" s="1702"/>
      <c r="L234" s="1254"/>
      <c r="M234" s="1254"/>
      <c r="N234" s="1254"/>
      <c r="O234" s="1254"/>
      <c r="P234" s="1254"/>
      <c r="Q234" s="1254"/>
      <c r="R234" s="1254"/>
      <c r="S234" s="1918"/>
      <c r="T234" s="1797"/>
      <c r="U234" s="1797"/>
      <c r="V234" s="1797"/>
      <c r="W234" s="1797"/>
      <c r="X234" s="1797"/>
      <c r="Y234" s="1797"/>
      <c r="Z234" s="1797"/>
      <c r="AA234" s="1797"/>
      <c r="AB234" s="1797"/>
      <c r="AC234" s="1797"/>
      <c r="AD234" s="1797"/>
      <c r="AE234" s="1797"/>
      <c r="AF234" s="1797"/>
      <c r="AG234" s="1797"/>
      <c r="AH234" s="1797"/>
      <c r="AI234" s="1797"/>
      <c r="AJ234" s="1798"/>
      <c r="AK234" s="1254"/>
      <c r="AL234" s="1254"/>
      <c r="AM234" s="1254"/>
      <c r="AN234" s="1254"/>
      <c r="AO234" s="1254"/>
      <c r="AP234" s="1254"/>
      <c r="AQ234" s="1254"/>
      <c r="AR234" s="1254"/>
      <c r="AS234" s="1254"/>
      <c r="AT234" s="1254"/>
      <c r="AU234" s="1254"/>
      <c r="AV234" s="1254"/>
      <c r="AW234" s="1254"/>
      <c r="AX234" s="1254"/>
      <c r="AY234" s="1254"/>
      <c r="AZ234" s="1254"/>
      <c r="BA234" s="1254"/>
      <c r="BB234" s="1254"/>
      <c r="BC234" s="1254"/>
      <c r="BD234" s="1255"/>
      <c r="BE234" s="1210"/>
    </row>
    <row r="235" spans="1:57" ht="15.75" customHeight="1" thickBot="1">
      <c r="A235" s="1203"/>
      <c r="B235" s="1253"/>
      <c r="C235" s="1254"/>
      <c r="D235" s="1254"/>
      <c r="E235" s="1254"/>
      <c r="F235" s="1254"/>
      <c r="G235" s="1254"/>
      <c r="H235" s="1256"/>
      <c r="I235" s="1256"/>
      <c r="J235" s="1256"/>
      <c r="K235" s="1256"/>
      <c r="L235" s="1254"/>
      <c r="M235" s="1254"/>
      <c r="N235" s="1254"/>
      <c r="O235" s="1254"/>
      <c r="P235" s="1254"/>
      <c r="Q235" s="1254"/>
      <c r="R235" s="1254"/>
      <c r="S235" s="1254"/>
      <c r="T235" s="1254"/>
      <c r="U235" s="1254"/>
      <c r="V235" s="1254"/>
      <c r="W235" s="1254"/>
      <c r="X235" s="1254"/>
      <c r="Y235" s="1254"/>
      <c r="Z235" s="1254"/>
      <c r="AA235" s="1254"/>
      <c r="AB235" s="1254"/>
      <c r="AC235" s="1254"/>
      <c r="AD235" s="1254"/>
      <c r="AE235" s="1254"/>
      <c r="AF235" s="1254"/>
      <c r="AG235" s="1254"/>
      <c r="AH235" s="1254"/>
      <c r="AI235" s="1254"/>
      <c r="AJ235" s="1254"/>
      <c r="AK235" s="1254"/>
      <c r="AL235" s="1254"/>
      <c r="AM235" s="1254"/>
      <c r="AN235" s="1254"/>
      <c r="AO235" s="1254"/>
      <c r="AP235" s="1254"/>
      <c r="AQ235" s="1254"/>
      <c r="AR235" s="1254"/>
      <c r="AS235" s="1254"/>
      <c r="AT235" s="1254"/>
      <c r="AU235" s="1254"/>
      <c r="AV235" s="1254"/>
      <c r="AW235" s="1254"/>
      <c r="AX235" s="1254"/>
      <c r="AY235" s="1254"/>
      <c r="AZ235" s="1254"/>
      <c r="BA235" s="1254"/>
      <c r="BB235" s="1254"/>
      <c r="BC235" s="1254"/>
      <c r="BD235" s="1255"/>
      <c r="BE235" s="1210"/>
    </row>
    <row r="236" spans="1:57" ht="15.75" customHeight="1" thickBot="1">
      <c r="A236" s="1203"/>
      <c r="B236" s="1253"/>
      <c r="C236" s="1254"/>
      <c r="D236" s="1254"/>
      <c r="E236" s="1254"/>
      <c r="F236" s="1254"/>
      <c r="G236" s="1254"/>
      <c r="H236" s="1701" t="s">
        <v>2037</v>
      </c>
      <c r="I236" s="1702"/>
      <c r="J236" s="1702"/>
      <c r="K236" s="1256"/>
      <c r="L236" s="1254"/>
      <c r="M236" s="1254"/>
      <c r="N236" s="1254"/>
      <c r="O236" s="1254"/>
      <c r="P236" s="1254"/>
      <c r="Q236" s="1254"/>
      <c r="R236" s="1254"/>
      <c r="S236" s="1845"/>
      <c r="T236" s="1797"/>
      <c r="U236" s="1797"/>
      <c r="V236" s="1797"/>
      <c r="W236" s="1797"/>
      <c r="X236" s="1797"/>
      <c r="Y236" s="1797"/>
      <c r="Z236" s="1797"/>
      <c r="AA236" s="1797"/>
      <c r="AB236" s="1797"/>
      <c r="AC236" s="1797"/>
      <c r="AD236" s="1797"/>
      <c r="AE236" s="1797"/>
      <c r="AF236" s="1797"/>
      <c r="AG236" s="1797"/>
      <c r="AH236" s="1797"/>
      <c r="AI236" s="1797"/>
      <c r="AJ236" s="1798"/>
      <c r="AK236" s="1254"/>
      <c r="AL236" s="1254"/>
      <c r="AM236" s="1254"/>
      <c r="AN236" s="1254"/>
      <c r="AO236" s="1254"/>
      <c r="AP236" s="1254"/>
      <c r="AQ236" s="1254"/>
      <c r="AR236" s="1254"/>
      <c r="AS236" s="1254"/>
      <c r="AT236" s="1254"/>
      <c r="AU236" s="1254"/>
      <c r="AV236" s="1254"/>
      <c r="AW236" s="1254"/>
      <c r="AX236" s="1254"/>
      <c r="AY236" s="1254"/>
      <c r="AZ236" s="1254"/>
      <c r="BA236" s="1254"/>
      <c r="BB236" s="1254"/>
      <c r="BC236" s="1254"/>
      <c r="BD236" s="1255"/>
      <c r="BE236" s="1210"/>
    </row>
    <row r="237" spans="1:57" ht="15.75" customHeight="1" thickBot="1">
      <c r="A237" s="1203"/>
      <c r="B237" s="1253"/>
      <c r="C237" s="1254"/>
      <c r="D237" s="1254"/>
      <c r="E237" s="1254"/>
      <c r="F237" s="1254"/>
      <c r="G237" s="1254"/>
      <c r="H237" s="1256"/>
      <c r="I237" s="1256"/>
      <c r="J237" s="1256"/>
      <c r="K237" s="1256"/>
      <c r="L237" s="1254"/>
      <c r="M237" s="1254"/>
      <c r="N237" s="1254"/>
      <c r="O237" s="1254"/>
      <c r="P237" s="1254"/>
      <c r="Q237" s="1254"/>
      <c r="R237" s="1254"/>
      <c r="S237" s="1254"/>
      <c r="T237" s="1254"/>
      <c r="U237" s="1254"/>
      <c r="V237" s="1254"/>
      <c r="W237" s="1254"/>
      <c r="X237" s="1254"/>
      <c r="Y237" s="1254"/>
      <c r="Z237" s="1254"/>
      <c r="AA237" s="1254"/>
      <c r="AB237" s="1254"/>
      <c r="AC237" s="1254"/>
      <c r="AD237" s="1254"/>
      <c r="AE237" s="1254"/>
      <c r="AF237" s="1254"/>
      <c r="AG237" s="1254"/>
      <c r="AH237" s="1254"/>
      <c r="AI237" s="1254"/>
      <c r="AJ237" s="1254"/>
      <c r="AK237" s="1254"/>
      <c r="AL237" s="1254"/>
      <c r="AM237" s="1254"/>
      <c r="AN237" s="1254"/>
      <c r="AO237" s="1254"/>
      <c r="AP237" s="1254"/>
      <c r="AQ237" s="1254"/>
      <c r="AR237" s="1254"/>
      <c r="AS237" s="1254"/>
      <c r="AT237" s="1254"/>
      <c r="AU237" s="1254"/>
      <c r="AV237" s="1254"/>
      <c r="AW237" s="1254"/>
      <c r="AX237" s="1254"/>
      <c r="AY237" s="1254"/>
      <c r="AZ237" s="1254"/>
      <c r="BA237" s="1254"/>
      <c r="BB237" s="1254"/>
      <c r="BC237" s="1254"/>
      <c r="BD237" s="1255"/>
      <c r="BE237" s="1210"/>
    </row>
    <row r="238" spans="1:57" ht="15.75" customHeight="1" thickBot="1">
      <c r="A238" s="1203"/>
      <c r="B238" s="1253"/>
      <c r="C238" s="1254"/>
      <c r="D238" s="1254"/>
      <c r="E238" s="1254"/>
      <c r="F238" s="1254"/>
      <c r="G238" s="1254"/>
      <c r="H238" s="1701" t="s">
        <v>933</v>
      </c>
      <c r="I238" s="1702"/>
      <c r="J238" s="1256"/>
      <c r="K238" s="1256"/>
      <c r="L238" s="1254"/>
      <c r="M238" s="1254"/>
      <c r="N238" s="1254"/>
      <c r="O238" s="1254"/>
      <c r="P238" s="1254"/>
      <c r="Q238" s="1254"/>
      <c r="R238" s="1254"/>
      <c r="S238" s="1845"/>
      <c r="T238" s="1797"/>
      <c r="U238" s="1797"/>
      <c r="V238" s="1797"/>
      <c r="W238" s="1797"/>
      <c r="X238" s="1797"/>
      <c r="Y238" s="1797"/>
      <c r="Z238" s="1797"/>
      <c r="AA238" s="1797"/>
      <c r="AB238" s="1797"/>
      <c r="AC238" s="1797"/>
      <c r="AD238" s="1797"/>
      <c r="AE238" s="1797"/>
      <c r="AF238" s="1797"/>
      <c r="AG238" s="1797"/>
      <c r="AH238" s="1797"/>
      <c r="AI238" s="1797"/>
      <c r="AJ238" s="1798"/>
      <c r="AK238" s="1254"/>
      <c r="AL238" s="1254"/>
      <c r="AM238" s="1254"/>
      <c r="AN238" s="1254"/>
      <c r="AO238" s="1254"/>
      <c r="AP238" s="1254"/>
      <c r="AQ238" s="1254"/>
      <c r="AR238" s="1254"/>
      <c r="AS238" s="1254"/>
      <c r="AT238" s="1254"/>
      <c r="AU238" s="1254"/>
      <c r="AV238" s="1254"/>
      <c r="AW238" s="1254"/>
      <c r="AX238" s="1254"/>
      <c r="AY238" s="1254"/>
      <c r="AZ238" s="1254"/>
      <c r="BA238" s="1254"/>
      <c r="BB238" s="1254"/>
      <c r="BC238" s="1254"/>
      <c r="BD238" s="1255"/>
      <c r="BE238" s="1210"/>
    </row>
    <row r="239" spans="1:57" ht="15.75" customHeight="1" thickBot="1">
      <c r="A239" s="1203"/>
      <c r="B239" s="1253"/>
      <c r="C239" s="1254"/>
      <c r="D239" s="1254"/>
      <c r="E239" s="1254"/>
      <c r="F239" s="1254"/>
      <c r="G239" s="1254"/>
      <c r="H239" s="1254"/>
      <c r="I239" s="1254"/>
      <c r="J239" s="1254"/>
      <c r="K239" s="1254"/>
      <c r="L239" s="1254"/>
      <c r="M239" s="1254"/>
      <c r="N239" s="1254"/>
      <c r="O239" s="1254"/>
      <c r="P239" s="1254"/>
      <c r="Q239" s="1254"/>
      <c r="R239" s="1254"/>
      <c r="S239" s="1254"/>
      <c r="T239" s="1254"/>
      <c r="U239" s="1254"/>
      <c r="V239" s="1254"/>
      <c r="W239" s="1254"/>
      <c r="X239" s="1254"/>
      <c r="Y239" s="1254"/>
      <c r="Z239" s="1254"/>
      <c r="AA239" s="1254"/>
      <c r="AB239" s="1254"/>
      <c r="AC239" s="1254"/>
      <c r="AD239" s="1254"/>
      <c r="AE239" s="1254"/>
      <c r="AF239" s="1254"/>
      <c r="AG239" s="1254"/>
      <c r="AH239" s="1254"/>
      <c r="AI239" s="1254"/>
      <c r="AJ239" s="1254"/>
      <c r="AK239" s="1254"/>
      <c r="AL239" s="1254"/>
      <c r="AM239" s="1254"/>
      <c r="AN239" s="1254"/>
      <c r="AO239" s="1254"/>
      <c r="AP239" s="1254"/>
      <c r="AQ239" s="1254"/>
      <c r="AR239" s="1254"/>
      <c r="AS239" s="1254"/>
      <c r="AT239" s="1254"/>
      <c r="AU239" s="1254"/>
      <c r="AV239" s="1254"/>
      <c r="AW239" s="1254"/>
      <c r="AX239" s="1254"/>
      <c r="AY239" s="1254"/>
      <c r="AZ239" s="1254"/>
      <c r="BA239" s="1254"/>
      <c r="BB239" s="1254"/>
      <c r="BC239" s="1254"/>
      <c r="BD239" s="1255"/>
      <c r="BE239" s="1210"/>
    </row>
    <row r="240" spans="1:57" ht="15.75" customHeight="1" thickBot="1">
      <c r="A240" s="1203"/>
      <c r="B240" s="1253"/>
      <c r="C240" s="1254"/>
      <c r="D240" s="1254"/>
      <c r="E240" s="1254"/>
      <c r="F240" s="1254"/>
      <c r="G240" s="1254"/>
      <c r="H240" s="1870" t="s">
        <v>2135</v>
      </c>
      <c r="I240" s="1702"/>
      <c r="J240" s="1702"/>
      <c r="K240" s="1702"/>
      <c r="L240" s="1702"/>
      <c r="M240" s="1702"/>
      <c r="N240" s="1702"/>
      <c r="O240" s="1702"/>
      <c r="P240" s="1254"/>
      <c r="Q240" s="1254"/>
      <c r="R240" s="1254"/>
      <c r="S240" s="1845"/>
      <c r="T240" s="1797"/>
      <c r="U240" s="1797"/>
      <c r="V240" s="1797"/>
      <c r="W240" s="1797"/>
      <c r="X240" s="1797"/>
      <c r="Y240" s="1797"/>
      <c r="Z240" s="1797"/>
      <c r="AA240" s="1797"/>
      <c r="AB240" s="1797"/>
      <c r="AC240" s="1797"/>
      <c r="AD240" s="1797"/>
      <c r="AE240" s="1797"/>
      <c r="AF240" s="1797"/>
      <c r="AG240" s="1797"/>
      <c r="AH240" s="1797"/>
      <c r="AI240" s="1797"/>
      <c r="AJ240" s="1798"/>
      <c r="AK240" s="1254"/>
      <c r="AL240" s="1254"/>
      <c r="AM240" s="1254"/>
      <c r="AN240" s="1254"/>
      <c r="AO240" s="1254"/>
      <c r="AP240" s="1254"/>
      <c r="AQ240" s="1254"/>
      <c r="AR240" s="1254"/>
      <c r="AS240" s="1254"/>
      <c r="AT240" s="1254"/>
      <c r="AU240" s="1254"/>
      <c r="AV240" s="1254"/>
      <c r="AW240" s="1254"/>
      <c r="AX240" s="1254"/>
      <c r="AY240" s="1254"/>
      <c r="AZ240" s="1254"/>
      <c r="BA240" s="1254"/>
      <c r="BB240" s="1254"/>
      <c r="BC240" s="1254"/>
      <c r="BD240" s="1255"/>
      <c r="BE240" s="1210"/>
    </row>
    <row r="241" spans="1:57" ht="15.75" customHeight="1" thickBot="1">
      <c r="A241" s="1203"/>
      <c r="B241" s="1253"/>
      <c r="C241" s="1254"/>
      <c r="D241" s="1254"/>
      <c r="E241" s="1254"/>
      <c r="F241" s="1254"/>
      <c r="G241" s="1254"/>
      <c r="H241" s="1254"/>
      <c r="I241" s="1254"/>
      <c r="J241" s="1254"/>
      <c r="K241" s="1254"/>
      <c r="L241" s="1254"/>
      <c r="M241" s="1254"/>
      <c r="N241" s="1254"/>
      <c r="O241" s="1254"/>
      <c r="P241" s="1254"/>
      <c r="Q241" s="1254"/>
      <c r="R241" s="1254"/>
      <c r="S241" s="1254"/>
      <c r="T241" s="1254"/>
      <c r="U241" s="1254"/>
      <c r="V241" s="1254"/>
      <c r="W241" s="1254"/>
      <c r="X241" s="1254"/>
      <c r="Y241" s="1254"/>
      <c r="Z241" s="1254"/>
      <c r="AA241" s="1254"/>
      <c r="AB241" s="1254"/>
      <c r="AC241" s="1254"/>
      <c r="AD241" s="1254"/>
      <c r="AE241" s="1254"/>
      <c r="AF241" s="1254"/>
      <c r="AG241" s="1254"/>
      <c r="AH241" s="1254"/>
      <c r="AI241" s="1254"/>
      <c r="AJ241" s="1254"/>
      <c r="AK241" s="1254"/>
      <c r="AL241" s="1254"/>
      <c r="AM241" s="1254"/>
      <c r="AN241" s="1254"/>
      <c r="AO241" s="1254"/>
      <c r="AP241" s="1254"/>
      <c r="AQ241" s="1254"/>
      <c r="AR241" s="1254"/>
      <c r="AS241" s="1254"/>
      <c r="AT241" s="1254"/>
      <c r="AU241" s="1254"/>
      <c r="AV241" s="1254"/>
      <c r="AW241" s="1254"/>
      <c r="AX241" s="1254"/>
      <c r="AY241" s="1254"/>
      <c r="AZ241" s="1254"/>
      <c r="BA241" s="1254"/>
      <c r="BB241" s="1254"/>
      <c r="BC241" s="1254"/>
      <c r="BD241" s="1255"/>
      <c r="BE241" s="1210"/>
    </row>
    <row r="242" spans="1:57" ht="15.75" customHeight="1" thickBot="1">
      <c r="A242" s="1203"/>
      <c r="B242" s="1253"/>
      <c r="C242" s="1254"/>
      <c r="D242" s="1254"/>
      <c r="E242" s="1254"/>
      <c r="F242" s="1254"/>
      <c r="G242" s="1254"/>
      <c r="H242" s="1803" t="s">
        <v>2136</v>
      </c>
      <c r="I242" s="1702"/>
      <c r="J242" s="1254"/>
      <c r="K242" s="1254"/>
      <c r="L242" s="1254"/>
      <c r="M242" s="1254"/>
      <c r="N242" s="1254"/>
      <c r="O242" s="1254"/>
      <c r="P242" s="1254"/>
      <c r="Q242" s="1254"/>
      <c r="R242" s="1254"/>
      <c r="S242" s="1915"/>
      <c r="T242" s="1797"/>
      <c r="U242" s="1797"/>
      <c r="V242" s="1797"/>
      <c r="W242" s="1797"/>
      <c r="X242" s="1797"/>
      <c r="Y242" s="1797"/>
      <c r="Z242" s="1797"/>
      <c r="AA242" s="1797"/>
      <c r="AB242" s="1797"/>
      <c r="AC242" s="1797"/>
      <c r="AD242" s="1797"/>
      <c r="AE242" s="1797"/>
      <c r="AF242" s="1797"/>
      <c r="AG242" s="1797"/>
      <c r="AH242" s="1797"/>
      <c r="AI242" s="1797"/>
      <c r="AJ242" s="1798"/>
      <c r="AK242" s="1254"/>
      <c r="AL242" s="1254"/>
      <c r="AM242" s="1254"/>
      <c r="AN242" s="1254"/>
      <c r="AO242" s="1254"/>
      <c r="AP242" s="1254"/>
      <c r="AQ242" s="1254"/>
      <c r="AR242" s="1254"/>
      <c r="AS242" s="1254"/>
      <c r="AT242" s="1254"/>
      <c r="AU242" s="1254"/>
      <c r="AV242" s="1254"/>
      <c r="AW242" s="1254"/>
      <c r="AX242" s="1254"/>
      <c r="AY242" s="1254"/>
      <c r="AZ242" s="1254"/>
      <c r="BA242" s="1254"/>
      <c r="BB242" s="1254"/>
      <c r="BC242" s="1254"/>
      <c r="BD242" s="1255"/>
      <c r="BE242" s="1210"/>
    </row>
    <row r="243" spans="1:57" ht="15.75" customHeight="1" thickBot="1">
      <c r="A243" s="1203"/>
      <c r="B243" s="1257"/>
      <c r="C243" s="1258"/>
      <c r="D243" s="1258"/>
      <c r="E243" s="1258"/>
      <c r="F243" s="1258"/>
      <c r="G243" s="1258"/>
      <c r="H243" s="1258"/>
      <c r="I243" s="1258"/>
      <c r="J243" s="1258"/>
      <c r="K243" s="1258"/>
      <c r="L243" s="1258"/>
      <c r="M243" s="1258"/>
      <c r="N243" s="1258"/>
      <c r="O243" s="1258"/>
      <c r="P243" s="1258"/>
      <c r="Q243" s="1258"/>
      <c r="R243" s="1258"/>
      <c r="S243" s="1258"/>
      <c r="T243" s="1258"/>
      <c r="U243" s="1258"/>
      <c r="V243" s="1258"/>
      <c r="W243" s="1258"/>
      <c r="X243" s="1258"/>
      <c r="Y243" s="1258"/>
      <c r="Z243" s="1258"/>
      <c r="AA243" s="1258"/>
      <c r="AB243" s="1258"/>
      <c r="AC243" s="1258"/>
      <c r="AD243" s="1258"/>
      <c r="AE243" s="1258"/>
      <c r="AF243" s="1258"/>
      <c r="AG243" s="1258"/>
      <c r="AH243" s="1258"/>
      <c r="AI243" s="1258"/>
      <c r="AJ243" s="1258"/>
      <c r="AK243" s="1258"/>
      <c r="AL243" s="1258"/>
      <c r="AM243" s="1258"/>
      <c r="AN243" s="1258"/>
      <c r="AO243" s="1258"/>
      <c r="AP243" s="1258"/>
      <c r="AQ243" s="1258"/>
      <c r="AR243" s="1258"/>
      <c r="AS243" s="1258"/>
      <c r="AT243" s="1258"/>
      <c r="AU243" s="1258"/>
      <c r="AV243" s="1258"/>
      <c r="AW243" s="1258"/>
      <c r="AX243" s="1258"/>
      <c r="AY243" s="1258"/>
      <c r="AZ243" s="1258"/>
      <c r="BA243" s="1258"/>
      <c r="BB243" s="1258"/>
      <c r="BC243" s="1258"/>
      <c r="BD243" s="1259"/>
      <c r="BE243" s="1210"/>
    </row>
    <row r="244" spans="1:57" ht="15.75" customHeight="1" thickBot="1">
      <c r="A244" s="1251"/>
      <c r="B244" s="1251"/>
      <c r="C244" s="1251"/>
      <c r="D244" s="1251"/>
      <c r="E244" s="1251"/>
      <c r="F244" s="1251"/>
      <c r="G244" s="1251"/>
      <c r="H244" s="1251"/>
      <c r="I244" s="1251"/>
      <c r="J244" s="1251"/>
      <c r="K244" s="1251"/>
      <c r="L244" s="1251"/>
      <c r="M244" s="1251"/>
      <c r="N244" s="1251"/>
      <c r="O244" s="1251"/>
      <c r="P244" s="1251"/>
      <c r="Q244" s="1251"/>
      <c r="R244" s="1251"/>
      <c r="S244" s="1251"/>
      <c r="T244" s="1251"/>
      <c r="U244" s="1251"/>
      <c r="V244" s="1251"/>
      <c r="W244" s="1251"/>
      <c r="X244" s="1251"/>
      <c r="Y244" s="1251"/>
      <c r="Z244" s="1251"/>
      <c r="AA244" s="1251"/>
      <c r="AB244" s="1251"/>
      <c r="AC244" s="1251"/>
      <c r="AD244" s="1251"/>
      <c r="AE244" s="1251"/>
      <c r="AF244" s="1251"/>
      <c r="AG244" s="1251"/>
      <c r="AH244" s="1251"/>
      <c r="AI244" s="1251"/>
      <c r="AJ244" s="1251"/>
      <c r="AK244" s="1251"/>
      <c r="AL244" s="1251"/>
      <c r="AM244" s="1251"/>
      <c r="AN244" s="1251"/>
      <c r="AO244" s="1251"/>
      <c r="AP244" s="1251"/>
      <c r="AQ244" s="1251"/>
      <c r="AR244" s="1251"/>
      <c r="AS244" s="1251"/>
      <c r="AT244" s="1251"/>
      <c r="AU244" s="1251"/>
      <c r="AV244" s="1251"/>
      <c r="AW244" s="1251"/>
      <c r="AX244" s="1251"/>
      <c r="AY244" s="1251"/>
      <c r="AZ244" s="1251"/>
      <c r="BA244" s="1251"/>
      <c r="BB244" s="1251"/>
      <c r="BC244" s="1251"/>
      <c r="BD244" s="1251"/>
      <c r="BE244" s="1252"/>
    </row>
    <row r="245" spans="1:57" ht="14.4"/>
    <row r="246" spans="1:57" ht="14.4"/>
    <row r="247" spans="1:57" ht="15.75" customHeight="1">
      <c r="D247" s="1201"/>
    </row>
    <row r="248" spans="1:57" ht="15.75" customHeight="1">
      <c r="D248" s="1260"/>
    </row>
    <row r="249" spans="1:57" ht="15.75" customHeight="1">
      <c r="D249" s="1201"/>
    </row>
    <row r="250" spans="1:57" ht="15.75" customHeight="1">
      <c r="D250" s="1201"/>
    </row>
    <row r="251" spans="1:57" ht="15.75" customHeight="1">
      <c r="R251" s="1199" t="s">
        <v>366</v>
      </c>
    </row>
  </sheetData>
  <sheetProtection algorithmName="SHA-512" hashValue="E+0n5mg9dJ81zzSJy0isQxGG7sv/kD86yPWV2kPi5UuL1BVpkVD8m/gVHu26ihsOLCf8Cv9sg6v+iGspW8yQwg==" saltValue="qt66Cf14XO5qbe6jgdmgmg==" spinCount="100000" sheet="1" objects="1" scenarios="1"/>
  <mergeCells count="697">
    <mergeCell ref="J27:O27"/>
    <mergeCell ref="AH192:AR192"/>
    <mergeCell ref="C163:E163"/>
    <mergeCell ref="AB158:AG158"/>
    <mergeCell ref="B27:I27"/>
    <mergeCell ref="AD35:AG35"/>
    <mergeCell ref="S236:AJ236"/>
    <mergeCell ref="J36:M36"/>
    <mergeCell ref="Z43:AC43"/>
    <mergeCell ref="U187:AE187"/>
    <mergeCell ref="AP39:AR39"/>
    <mergeCell ref="P204:T204"/>
    <mergeCell ref="N190:T190"/>
    <mergeCell ref="C199:AE199"/>
    <mergeCell ref="AG206:AK206"/>
    <mergeCell ref="C195:N195"/>
    <mergeCell ref="Y211:AB211"/>
    <mergeCell ref="X195:AE195"/>
    <mergeCell ref="Y210:AB210"/>
    <mergeCell ref="C210:F210"/>
    <mergeCell ref="G210:O210"/>
    <mergeCell ref="U189:AE189"/>
    <mergeCell ref="AG208:AK208"/>
    <mergeCell ref="C208:F208"/>
    <mergeCell ref="BC186:BE186"/>
    <mergeCell ref="BC185:BE185"/>
    <mergeCell ref="R56:Y56"/>
    <mergeCell ref="AB163:AG163"/>
    <mergeCell ref="C161:P161"/>
    <mergeCell ref="AS44:AX44"/>
    <mergeCell ref="P131:U131"/>
    <mergeCell ref="B63:I63"/>
    <mergeCell ref="O74:AA74"/>
    <mergeCell ref="I95:N95"/>
    <mergeCell ref="V85:AA85"/>
    <mergeCell ref="R137:AX137"/>
    <mergeCell ref="B92:AH92"/>
    <mergeCell ref="AY47:BD47"/>
    <mergeCell ref="R57:Y57"/>
    <mergeCell ref="AJ81:AX84"/>
    <mergeCell ref="B56:I56"/>
    <mergeCell ref="B106:H106"/>
    <mergeCell ref="AH134:AX134"/>
    <mergeCell ref="B50:AO50"/>
    <mergeCell ref="X151:AQ151"/>
    <mergeCell ref="F163:P163"/>
    <mergeCell ref="B62:I62"/>
    <mergeCell ref="I84:N84"/>
    <mergeCell ref="BC187:BE187"/>
    <mergeCell ref="AY38:BD38"/>
    <mergeCell ref="AB165:AG165"/>
    <mergeCell ref="AL39:AO39"/>
    <mergeCell ref="S242:AJ242"/>
    <mergeCell ref="AF6:AO6"/>
    <mergeCell ref="O124:U124"/>
    <mergeCell ref="AH40:AK40"/>
    <mergeCell ref="V106:AA106"/>
    <mergeCell ref="AB86:AH86"/>
    <mergeCell ref="I155:O155"/>
    <mergeCell ref="AH186:AT186"/>
    <mergeCell ref="J52:Q52"/>
    <mergeCell ref="I85:N85"/>
    <mergeCell ref="P21:U21"/>
    <mergeCell ref="V105:AA105"/>
    <mergeCell ref="G207:O207"/>
    <mergeCell ref="J39:M39"/>
    <mergeCell ref="P28:U28"/>
    <mergeCell ref="AP11:AU11"/>
    <mergeCell ref="B60:I60"/>
    <mergeCell ref="AS192:AX192"/>
    <mergeCell ref="S234:AJ234"/>
    <mergeCell ref="C211:O211"/>
    <mergeCell ref="P25:U25"/>
    <mergeCell ref="B219:BD219"/>
    <mergeCell ref="AN27:AS27"/>
    <mergeCell ref="Y209:AB209"/>
    <mergeCell ref="AH189:AT189"/>
    <mergeCell ref="L6:AC6"/>
    <mergeCell ref="B105:H105"/>
    <mergeCell ref="R54:Y54"/>
    <mergeCell ref="AB18:AG18"/>
    <mergeCell ref="J54:Q54"/>
    <mergeCell ref="J59:AW59"/>
    <mergeCell ref="B107:H107"/>
    <mergeCell ref="C159:P159"/>
    <mergeCell ref="AS42:AX42"/>
    <mergeCell ref="N10:T10"/>
    <mergeCell ref="J20:O20"/>
    <mergeCell ref="Z46:AC46"/>
    <mergeCell ref="Z40:AC40"/>
    <mergeCell ref="AH37:AK37"/>
    <mergeCell ref="R33:BD34"/>
    <mergeCell ref="AH53:AO53"/>
    <mergeCell ref="J22:O22"/>
    <mergeCell ref="J62:AW62"/>
    <mergeCell ref="AB26:AG26"/>
    <mergeCell ref="AX6:BA6"/>
    <mergeCell ref="AA14:AN14"/>
    <mergeCell ref="I97:N97"/>
    <mergeCell ref="AB27:AG27"/>
    <mergeCell ref="V46:Y46"/>
    <mergeCell ref="AF10:AO10"/>
    <mergeCell ref="R53:Y53"/>
    <mergeCell ref="B132:H132"/>
    <mergeCell ref="J19:O19"/>
    <mergeCell ref="AY41:BD41"/>
    <mergeCell ref="O123:U123"/>
    <mergeCell ref="V36:Y36"/>
    <mergeCell ref="AF11:AO11"/>
    <mergeCell ref="AA13:AN13"/>
    <mergeCell ref="N11:T11"/>
    <mergeCell ref="R38:U38"/>
    <mergeCell ref="AY40:BD40"/>
    <mergeCell ref="AL46:AO46"/>
    <mergeCell ref="R32:BD32"/>
    <mergeCell ref="B47:I47"/>
    <mergeCell ref="J47:M47"/>
    <mergeCell ref="B122:H122"/>
    <mergeCell ref="AB82:AH83"/>
    <mergeCell ref="AC73:BC77"/>
    <mergeCell ref="AP9:AU9"/>
    <mergeCell ref="B36:I36"/>
    <mergeCell ref="V97:AA97"/>
    <mergeCell ref="AS41:AX41"/>
    <mergeCell ref="R41:U41"/>
    <mergeCell ref="Z38:AC38"/>
    <mergeCell ref="V103:AA104"/>
    <mergeCell ref="AY43:BD43"/>
    <mergeCell ref="AH20:AM20"/>
    <mergeCell ref="AS43:AX43"/>
    <mergeCell ref="AJ96:BB97"/>
    <mergeCell ref="R43:U43"/>
    <mergeCell ref="F79:T79"/>
    <mergeCell ref="AB21:AG21"/>
    <mergeCell ref="B39:I39"/>
    <mergeCell ref="AB23:AG23"/>
    <mergeCell ref="AP36:AR36"/>
    <mergeCell ref="AP45:AR45"/>
    <mergeCell ref="B40:I40"/>
    <mergeCell ref="B31:BD31"/>
    <mergeCell ref="AN24:AS24"/>
    <mergeCell ref="B15:R15"/>
    <mergeCell ref="AF9:AO9"/>
    <mergeCell ref="AN26:AS26"/>
    <mergeCell ref="AY36:BD36"/>
    <mergeCell ref="BC188:BE188"/>
    <mergeCell ref="AS47:AX47"/>
    <mergeCell ref="AP47:AR47"/>
    <mergeCell ref="B112:T115"/>
    <mergeCell ref="AH38:AK38"/>
    <mergeCell ref="AB84:AH84"/>
    <mergeCell ref="AH55:AO55"/>
    <mergeCell ref="I154:O154"/>
    <mergeCell ref="AH185:AT185"/>
    <mergeCell ref="J64:AW64"/>
    <mergeCell ref="B71:N71"/>
    <mergeCell ref="AB105:AH105"/>
    <mergeCell ref="I103:N104"/>
    <mergeCell ref="N179:T179"/>
    <mergeCell ref="I96:N96"/>
    <mergeCell ref="AU187:BB187"/>
    <mergeCell ref="AE152:AK153"/>
    <mergeCell ref="C186:M186"/>
    <mergeCell ref="AP44:AR44"/>
    <mergeCell ref="C173:H173"/>
    <mergeCell ref="Q165:S165"/>
    <mergeCell ref="T165:AA165"/>
    <mergeCell ref="U185:AE185"/>
    <mergeCell ref="C205:F205"/>
    <mergeCell ref="AG205:AK205"/>
    <mergeCell ref="N191:T191"/>
    <mergeCell ref="Y202:AB203"/>
    <mergeCell ref="AU189:BB189"/>
    <mergeCell ref="C209:F209"/>
    <mergeCell ref="G205:O205"/>
    <mergeCell ref="Y204:AB204"/>
    <mergeCell ref="U202:X203"/>
    <mergeCell ref="AG204:AK204"/>
    <mergeCell ref="B221:BD221"/>
    <mergeCell ref="I152:O153"/>
    <mergeCell ref="O107:U107"/>
    <mergeCell ref="V22:AA22"/>
    <mergeCell ref="R40:U40"/>
    <mergeCell ref="B28:I28"/>
    <mergeCell ref="B86:H86"/>
    <mergeCell ref="Q158:S158"/>
    <mergeCell ref="U180:AE180"/>
    <mergeCell ref="AL41:AO41"/>
    <mergeCell ref="AY37:BD37"/>
    <mergeCell ref="J29:O29"/>
    <mergeCell ref="AT28:AY28"/>
    <mergeCell ref="Q160:S160"/>
    <mergeCell ref="R35:U35"/>
    <mergeCell ref="U182:AE182"/>
    <mergeCell ref="AB25:AG25"/>
    <mergeCell ref="AL35:AO35"/>
    <mergeCell ref="C194:AE194"/>
    <mergeCell ref="O195:W195"/>
    <mergeCell ref="C158:P158"/>
    <mergeCell ref="X154:AD154"/>
    <mergeCell ref="J51:Q51"/>
    <mergeCell ref="AF70:AU70"/>
    <mergeCell ref="AG211:AK211"/>
    <mergeCell ref="AY81:BB84"/>
    <mergeCell ref="N45:Q45"/>
    <mergeCell ref="V27:AA27"/>
    <mergeCell ref="O106:U106"/>
    <mergeCell ref="U206:X206"/>
    <mergeCell ref="AA15:AN15"/>
    <mergeCell ref="AD39:AG39"/>
    <mergeCell ref="O105:U105"/>
    <mergeCell ref="V45:Y45"/>
    <mergeCell ref="AP35:AR35"/>
    <mergeCell ref="N32:Q35"/>
    <mergeCell ref="P167:AO167"/>
    <mergeCell ref="AT29:AY29"/>
    <mergeCell ref="AT23:AY23"/>
    <mergeCell ref="AH187:AT187"/>
    <mergeCell ref="T162:AA162"/>
    <mergeCell ref="U183:AE183"/>
    <mergeCell ref="AE154:AK154"/>
    <mergeCell ref="B17:AY17"/>
    <mergeCell ref="AS35:AX35"/>
    <mergeCell ref="N185:T185"/>
    <mergeCell ref="AB164:AG164"/>
    <mergeCell ref="N47:Q47"/>
    <mergeCell ref="H240:O240"/>
    <mergeCell ref="AH52:AO52"/>
    <mergeCell ref="AN21:AS21"/>
    <mergeCell ref="U116:X117"/>
    <mergeCell ref="Z53:AG53"/>
    <mergeCell ref="I173:N173"/>
    <mergeCell ref="AY44:BD44"/>
    <mergeCell ref="AH47:AK47"/>
    <mergeCell ref="N183:T183"/>
    <mergeCell ref="I123:N123"/>
    <mergeCell ref="AN23:AS23"/>
    <mergeCell ref="Y205:AB205"/>
    <mergeCell ref="O93:U94"/>
    <mergeCell ref="X120:BD121"/>
    <mergeCell ref="E187:M187"/>
    <mergeCell ref="R51:Y51"/>
    <mergeCell ref="AV69:BC69"/>
    <mergeCell ref="V35:Y35"/>
    <mergeCell ref="E189:M189"/>
    <mergeCell ref="AG202:AK203"/>
    <mergeCell ref="N42:Q42"/>
    <mergeCell ref="P168:AO175"/>
    <mergeCell ref="AT25:AY25"/>
    <mergeCell ref="AG210:AK210"/>
    <mergeCell ref="V18:AA18"/>
    <mergeCell ref="B19:I19"/>
    <mergeCell ref="I168:N168"/>
    <mergeCell ref="J56:Q56"/>
    <mergeCell ref="P20:U20"/>
    <mergeCell ref="AD46:AG46"/>
    <mergeCell ref="AD40:AG40"/>
    <mergeCell ref="AL37:AO37"/>
    <mergeCell ref="X196:AE196"/>
    <mergeCell ref="C190:M190"/>
    <mergeCell ref="P22:U22"/>
    <mergeCell ref="U179:AE179"/>
    <mergeCell ref="AL40:AO40"/>
    <mergeCell ref="B138:AX147"/>
    <mergeCell ref="J21:O21"/>
    <mergeCell ref="B38:I38"/>
    <mergeCell ref="AU185:BB185"/>
    <mergeCell ref="Z57:AG57"/>
    <mergeCell ref="AH19:AM19"/>
    <mergeCell ref="AB22:AG22"/>
    <mergeCell ref="AP40:AR40"/>
    <mergeCell ref="B121:U121"/>
    <mergeCell ref="AL43:AO43"/>
    <mergeCell ref="B54:I54"/>
    <mergeCell ref="BB3:BE3"/>
    <mergeCell ref="B57:I57"/>
    <mergeCell ref="C180:M180"/>
    <mergeCell ref="J61:AW61"/>
    <mergeCell ref="H232:AV232"/>
    <mergeCell ref="AD38:AG38"/>
    <mergeCell ref="B136:AG136"/>
    <mergeCell ref="AP41:AR41"/>
    <mergeCell ref="U112:X115"/>
    <mergeCell ref="C182:M182"/>
    <mergeCell ref="AH42:AK42"/>
    <mergeCell ref="B70:N70"/>
    <mergeCell ref="AH22:AM22"/>
    <mergeCell ref="AC204:AF204"/>
    <mergeCell ref="AT22:AY22"/>
    <mergeCell ref="U204:X204"/>
    <mergeCell ref="C201:AK201"/>
    <mergeCell ref="I105:N105"/>
    <mergeCell ref="R37:U37"/>
    <mergeCell ref="V21:AA21"/>
    <mergeCell ref="AP43:AR43"/>
    <mergeCell ref="Z47:AC47"/>
    <mergeCell ref="AH44:AK44"/>
    <mergeCell ref="N180:T180"/>
    <mergeCell ref="S240:AJ240"/>
    <mergeCell ref="J26:O26"/>
    <mergeCell ref="O122:U122"/>
    <mergeCell ref="R46:U46"/>
    <mergeCell ref="B43:I43"/>
    <mergeCell ref="B18:I18"/>
    <mergeCell ref="AD37:AG37"/>
    <mergeCell ref="AO13:AS13"/>
    <mergeCell ref="AP46:AR46"/>
    <mergeCell ref="Z45:AC45"/>
    <mergeCell ref="P19:U19"/>
    <mergeCell ref="B75:N75"/>
    <mergeCell ref="AC72:BC72"/>
    <mergeCell ref="AH27:AM27"/>
    <mergeCell ref="F164:P164"/>
    <mergeCell ref="AO15:AS15"/>
    <mergeCell ref="AB29:AG29"/>
    <mergeCell ref="AC206:AF206"/>
    <mergeCell ref="V23:AA23"/>
    <mergeCell ref="AB95:AH95"/>
    <mergeCell ref="P211:T211"/>
    <mergeCell ref="N182:T182"/>
    <mergeCell ref="B81:AH81"/>
    <mergeCell ref="V96:AA96"/>
    <mergeCell ref="H236:J236"/>
    <mergeCell ref="F100:R100"/>
    <mergeCell ref="Z42:AC42"/>
    <mergeCell ref="R42:U42"/>
    <mergeCell ref="S238:AJ238"/>
    <mergeCell ref="I175:N175"/>
    <mergeCell ref="J24:O24"/>
    <mergeCell ref="B137:Q137"/>
    <mergeCell ref="AB107:AH107"/>
    <mergeCell ref="AC211:AF211"/>
    <mergeCell ref="C164:E164"/>
    <mergeCell ref="Z44:AC44"/>
    <mergeCell ref="J41:M41"/>
    <mergeCell ref="I82:N83"/>
    <mergeCell ref="P206:T206"/>
    <mergeCell ref="P207:T207"/>
    <mergeCell ref="X198:AE198"/>
    <mergeCell ref="C198:N198"/>
    <mergeCell ref="AC207:AF207"/>
    <mergeCell ref="O82:U83"/>
    <mergeCell ref="AD36:AG36"/>
    <mergeCell ref="N39:Q39"/>
    <mergeCell ref="N44:Q44"/>
    <mergeCell ref="B102:AH102"/>
    <mergeCell ref="AC69:AU69"/>
    <mergeCell ref="B84:H84"/>
    <mergeCell ref="AH136:AX136"/>
    <mergeCell ref="AH57:AO57"/>
    <mergeCell ref="AC210:AF210"/>
    <mergeCell ref="U186:AE186"/>
    <mergeCell ref="B152:H153"/>
    <mergeCell ref="C185:M185"/>
    <mergeCell ref="O85:U85"/>
    <mergeCell ref="C188:D188"/>
    <mergeCell ref="C187:D187"/>
    <mergeCell ref="N181:T181"/>
    <mergeCell ref="AC71:AE71"/>
    <mergeCell ref="C189:D189"/>
    <mergeCell ref="AB162:AG162"/>
    <mergeCell ref="C202:F203"/>
    <mergeCell ref="G206:O206"/>
    <mergeCell ref="AU186:BB186"/>
    <mergeCell ref="G204:O204"/>
    <mergeCell ref="AG209:AK209"/>
    <mergeCell ref="Y207:AB207"/>
    <mergeCell ref="C207:F207"/>
    <mergeCell ref="P202:T203"/>
    <mergeCell ref="U207:X207"/>
    <mergeCell ref="AD47:AG47"/>
    <mergeCell ref="U209:X209"/>
    <mergeCell ref="U208:X208"/>
    <mergeCell ref="U205:X205"/>
    <mergeCell ref="Z54:AG54"/>
    <mergeCell ref="AB106:AH106"/>
    <mergeCell ref="O84:U84"/>
    <mergeCell ref="AB103:AH104"/>
    <mergeCell ref="AB96:AH96"/>
    <mergeCell ref="AH135:AX135"/>
    <mergeCell ref="O197:W197"/>
    <mergeCell ref="AH184:BE184"/>
    <mergeCell ref="Q163:S163"/>
    <mergeCell ref="T164:AA164"/>
    <mergeCell ref="T159:AA159"/>
    <mergeCell ref="T161:AA161"/>
    <mergeCell ref="C157:AG157"/>
    <mergeCell ref="B59:I59"/>
    <mergeCell ref="F165:P165"/>
    <mergeCell ref="AB97:AH97"/>
    <mergeCell ref="C196:N196"/>
    <mergeCell ref="I129:O130"/>
    <mergeCell ref="N186:T186"/>
    <mergeCell ref="I171:N171"/>
    <mergeCell ref="C179:M179"/>
    <mergeCell ref="C168:H168"/>
    <mergeCell ref="B61:I61"/>
    <mergeCell ref="R55:Y55"/>
    <mergeCell ref="I172:N172"/>
    <mergeCell ref="V95:AA95"/>
    <mergeCell ref="J43:M43"/>
    <mergeCell ref="R39:U39"/>
    <mergeCell ref="C172:H172"/>
    <mergeCell ref="B69:N69"/>
    <mergeCell ref="O95:U95"/>
    <mergeCell ref="B123:H123"/>
    <mergeCell ref="B52:I52"/>
    <mergeCell ref="B82:H83"/>
    <mergeCell ref="O72:AA72"/>
    <mergeCell ref="H227:AZ230"/>
    <mergeCell ref="O69:AA69"/>
    <mergeCell ref="AB93:AH94"/>
    <mergeCell ref="B216:BD216"/>
    <mergeCell ref="B217:BD217"/>
    <mergeCell ref="P208:T208"/>
    <mergeCell ref="P210:T210"/>
    <mergeCell ref="AC209:AF209"/>
    <mergeCell ref="Y208:AB208"/>
    <mergeCell ref="B135:AG135"/>
    <mergeCell ref="B124:H124"/>
    <mergeCell ref="O97:U97"/>
    <mergeCell ref="AH190:BE191"/>
    <mergeCell ref="X197:AE197"/>
    <mergeCell ref="G209:O209"/>
    <mergeCell ref="U188:AE188"/>
    <mergeCell ref="B218:BD218"/>
    <mergeCell ref="AC208:AF208"/>
    <mergeCell ref="Y206:AB206"/>
    <mergeCell ref="AG207:AK207"/>
    <mergeCell ref="B116:T117"/>
    <mergeCell ref="C197:N197"/>
    <mergeCell ref="N187:T187"/>
    <mergeCell ref="I122:N122"/>
    <mergeCell ref="H242:I242"/>
    <mergeCell ref="T158:AA158"/>
    <mergeCell ref="AL47:AO47"/>
    <mergeCell ref="B20:I20"/>
    <mergeCell ref="X152:AD153"/>
    <mergeCell ref="AC205:AF205"/>
    <mergeCell ref="T160:AA160"/>
    <mergeCell ref="AD41:AG41"/>
    <mergeCell ref="C177:AE178"/>
    <mergeCell ref="V41:Y41"/>
    <mergeCell ref="U210:X210"/>
    <mergeCell ref="Z35:AC35"/>
    <mergeCell ref="B95:H95"/>
    <mergeCell ref="Q162:S162"/>
    <mergeCell ref="AD43:AG43"/>
    <mergeCell ref="H225:AY225"/>
    <mergeCell ref="AY39:BD39"/>
    <mergeCell ref="O196:W196"/>
    <mergeCell ref="J42:M42"/>
    <mergeCell ref="P129:U130"/>
    <mergeCell ref="B97:H97"/>
    <mergeCell ref="U211:X211"/>
    <mergeCell ref="AF71:AU71"/>
    <mergeCell ref="V26:AA26"/>
    <mergeCell ref="A2:BE2"/>
    <mergeCell ref="N188:T188"/>
    <mergeCell ref="T163:AA163"/>
    <mergeCell ref="B44:I44"/>
    <mergeCell ref="AB85:AH85"/>
    <mergeCell ref="C206:F206"/>
    <mergeCell ref="AN28:AS28"/>
    <mergeCell ref="B37:I37"/>
    <mergeCell ref="AH28:AM28"/>
    <mergeCell ref="AL45:AO45"/>
    <mergeCell ref="V40:Y40"/>
    <mergeCell ref="I131:O131"/>
    <mergeCell ref="Q13:T13"/>
    <mergeCell ref="R44:U44"/>
    <mergeCell ref="O198:W198"/>
    <mergeCell ref="O86:U86"/>
    <mergeCell ref="J44:M44"/>
    <mergeCell ref="AS37:AX37"/>
    <mergeCell ref="V93:AA94"/>
    <mergeCell ref="AH177:BE183"/>
    <mergeCell ref="C165:E165"/>
    <mergeCell ref="U184:AE184"/>
    <mergeCell ref="AB19:AG19"/>
    <mergeCell ref="AP37:AR37"/>
    <mergeCell ref="AX5:BA5"/>
    <mergeCell ref="J25:O25"/>
    <mergeCell ref="AT19:AY19"/>
    <mergeCell ref="O96:U96"/>
    <mergeCell ref="O103:U104"/>
    <mergeCell ref="B42:I42"/>
    <mergeCell ref="C204:F204"/>
    <mergeCell ref="V82:AA83"/>
    <mergeCell ref="G208:O208"/>
    <mergeCell ref="P132:U132"/>
    <mergeCell ref="AY192:BD192"/>
    <mergeCell ref="B128:U128"/>
    <mergeCell ref="V86:AA86"/>
    <mergeCell ref="AB20:AG20"/>
    <mergeCell ref="P205:T205"/>
    <mergeCell ref="J28:O28"/>
    <mergeCell ref="B22:I22"/>
    <mergeCell ref="AT26:AY26"/>
    <mergeCell ref="B32:I35"/>
    <mergeCell ref="I132:O132"/>
    <mergeCell ref="G202:O203"/>
    <mergeCell ref="B25:I25"/>
    <mergeCell ref="AF7:AO7"/>
    <mergeCell ref="V37:Y37"/>
    <mergeCell ref="AX3:BA3"/>
    <mergeCell ref="P154:U154"/>
    <mergeCell ref="O70:AA70"/>
    <mergeCell ref="AL38:AO38"/>
    <mergeCell ref="B85:H85"/>
    <mergeCell ref="AF5:AO5"/>
    <mergeCell ref="AT20:AY20"/>
    <mergeCell ref="AF8:AO8"/>
    <mergeCell ref="AH45:AK45"/>
    <mergeCell ref="L4:AC4"/>
    <mergeCell ref="S15:W15"/>
    <mergeCell ref="AP5:AU5"/>
    <mergeCell ref="AP6:AU6"/>
    <mergeCell ref="AX4:BA4"/>
    <mergeCell ref="AB8:AD8"/>
    <mergeCell ref="B103:H104"/>
    <mergeCell ref="B154:H154"/>
    <mergeCell ref="AP4:AU4"/>
    <mergeCell ref="R36:U36"/>
    <mergeCell ref="F110:R110"/>
    <mergeCell ref="B24:I24"/>
    <mergeCell ref="O75:AA75"/>
    <mergeCell ref="AP8:AU8"/>
    <mergeCell ref="AJ85:BB86"/>
    <mergeCell ref="AP10:AU10"/>
    <mergeCell ref="AH35:AK35"/>
    <mergeCell ref="AH51:AO51"/>
    <mergeCell ref="C171:H171"/>
    <mergeCell ref="C181:M181"/>
    <mergeCell ref="C184:M184"/>
    <mergeCell ref="R45:U45"/>
    <mergeCell ref="AH24:AM24"/>
    <mergeCell ref="AS38:AX38"/>
    <mergeCell ref="AD45:AG45"/>
    <mergeCell ref="AP38:AR38"/>
    <mergeCell ref="AH29:AM29"/>
    <mergeCell ref="J46:M46"/>
    <mergeCell ref="AH18:AM18"/>
    <mergeCell ref="AH39:AK39"/>
    <mergeCell ref="AH54:AO54"/>
    <mergeCell ref="AL154:AQ154"/>
    <mergeCell ref="AT18:AY18"/>
    <mergeCell ref="V19:AA19"/>
    <mergeCell ref="P155:U155"/>
    <mergeCell ref="O71:AA71"/>
    <mergeCell ref="I174:N174"/>
    <mergeCell ref="V29:AA29"/>
    <mergeCell ref="N36:Q36"/>
    <mergeCell ref="V24:AA24"/>
    <mergeCell ref="P27:U27"/>
    <mergeCell ref="N43:Q43"/>
    <mergeCell ref="AD42:AG42"/>
    <mergeCell ref="I170:N170"/>
    <mergeCell ref="E188:M188"/>
    <mergeCell ref="C183:M183"/>
    <mergeCell ref="B53:I53"/>
    <mergeCell ref="C170:H170"/>
    <mergeCell ref="B73:N73"/>
    <mergeCell ref="I124:N124"/>
    <mergeCell ref="I93:N94"/>
    <mergeCell ref="B155:H155"/>
    <mergeCell ref="Z55:AG55"/>
    <mergeCell ref="C175:H175"/>
    <mergeCell ref="B129:H130"/>
    <mergeCell ref="I107:N107"/>
    <mergeCell ref="V39:Y39"/>
    <mergeCell ref="V43:Y43"/>
    <mergeCell ref="F90:T90"/>
    <mergeCell ref="B72:N72"/>
    <mergeCell ref="N41:Q41"/>
    <mergeCell ref="C174:H174"/>
    <mergeCell ref="C169:H169"/>
    <mergeCell ref="AN20:AS20"/>
    <mergeCell ref="B93:H94"/>
    <mergeCell ref="V28:AA28"/>
    <mergeCell ref="AN25:AS25"/>
    <mergeCell ref="AL44:AO44"/>
    <mergeCell ref="V47:Y47"/>
    <mergeCell ref="AS45:AX45"/>
    <mergeCell ref="R47:U47"/>
    <mergeCell ref="Z56:AG56"/>
    <mergeCell ref="V84:AA84"/>
    <mergeCell ref="B64:I64"/>
    <mergeCell ref="P23:U23"/>
    <mergeCell ref="AJ92:AX95"/>
    <mergeCell ref="AN22:AS22"/>
    <mergeCell ref="B29:I29"/>
    <mergeCell ref="AV68:BC68"/>
    <mergeCell ref="B51:I51"/>
    <mergeCell ref="N40:Q40"/>
    <mergeCell ref="B45:I45"/>
    <mergeCell ref="J38:M38"/>
    <mergeCell ref="J40:M40"/>
    <mergeCell ref="AH25:AM25"/>
    <mergeCell ref="I86:N86"/>
    <mergeCell ref="J60:AW60"/>
    <mergeCell ref="A1:BE1"/>
    <mergeCell ref="C167:N167"/>
    <mergeCell ref="B13:P13"/>
    <mergeCell ref="AH41:AK41"/>
    <mergeCell ref="AP7:AU7"/>
    <mergeCell ref="J18:O18"/>
    <mergeCell ref="AO14:AS14"/>
    <mergeCell ref="AN19:AS19"/>
    <mergeCell ref="AF4:AO4"/>
    <mergeCell ref="V44:Y44"/>
    <mergeCell ref="J45:M45"/>
    <mergeCell ref="P29:U29"/>
    <mergeCell ref="B68:AA68"/>
    <mergeCell ref="Z39:AC39"/>
    <mergeCell ref="I106:N106"/>
    <mergeCell ref="N38:Q38"/>
    <mergeCell ref="V38:Y38"/>
    <mergeCell ref="AN18:AS18"/>
    <mergeCell ref="P18:U18"/>
    <mergeCell ref="AH26:AM26"/>
    <mergeCell ref="B26:I26"/>
    <mergeCell ref="AL42:AO42"/>
    <mergeCell ref="V20:AA20"/>
    <mergeCell ref="AH46:AK46"/>
    <mergeCell ref="H238:I238"/>
    <mergeCell ref="B23:I23"/>
    <mergeCell ref="AY92:BB95"/>
    <mergeCell ref="B151:U151"/>
    <mergeCell ref="V42:Y42"/>
    <mergeCell ref="AT21:AY21"/>
    <mergeCell ref="J32:M35"/>
    <mergeCell ref="J55:Q55"/>
    <mergeCell ref="P24:U24"/>
    <mergeCell ref="P209:T209"/>
    <mergeCell ref="AD44:AG44"/>
    <mergeCell ref="AC70:AE70"/>
    <mergeCell ref="AY46:BD46"/>
    <mergeCell ref="P26:U26"/>
    <mergeCell ref="V25:AA25"/>
    <mergeCell ref="I169:N169"/>
    <mergeCell ref="B131:H131"/>
    <mergeCell ref="N184:T184"/>
    <mergeCell ref="Z51:AG51"/>
    <mergeCell ref="AC68:AU68"/>
    <mergeCell ref="AH36:AK36"/>
    <mergeCell ref="AH56:AO56"/>
    <mergeCell ref="C191:M191"/>
    <mergeCell ref="AC202:AF203"/>
    <mergeCell ref="AH21:AM21"/>
    <mergeCell ref="Z36:AC36"/>
    <mergeCell ref="AH23:AM23"/>
    <mergeCell ref="AB24:AG24"/>
    <mergeCell ref="B41:I41"/>
    <mergeCell ref="Z41:AC41"/>
    <mergeCell ref="J23:O23"/>
    <mergeCell ref="H234:K234"/>
    <mergeCell ref="AY35:BD35"/>
    <mergeCell ref="B21:I21"/>
    <mergeCell ref="J53:Q53"/>
    <mergeCell ref="B96:H96"/>
    <mergeCell ref="N189:T189"/>
    <mergeCell ref="X122:BD132"/>
    <mergeCell ref="B74:N74"/>
    <mergeCell ref="P152:U153"/>
    <mergeCell ref="V107:AA107"/>
    <mergeCell ref="C162:P162"/>
    <mergeCell ref="Q159:S159"/>
    <mergeCell ref="AL152:AQ153"/>
    <mergeCell ref="C160:P160"/>
    <mergeCell ref="B134:AG134"/>
    <mergeCell ref="Q161:S161"/>
    <mergeCell ref="Q164:S164"/>
    <mergeCell ref="AT24:AY24"/>
    <mergeCell ref="J57:Q57"/>
    <mergeCell ref="O73:AA73"/>
    <mergeCell ref="AN29:AS29"/>
    <mergeCell ref="Z52:AG52"/>
    <mergeCell ref="R52:Y52"/>
    <mergeCell ref="AY45:BD45"/>
    <mergeCell ref="J63:AW63"/>
    <mergeCell ref="B46:I46"/>
    <mergeCell ref="AL36:AO36"/>
    <mergeCell ref="J37:M37"/>
    <mergeCell ref="N37:Q37"/>
    <mergeCell ref="AH43:AK43"/>
    <mergeCell ref="B55:I55"/>
    <mergeCell ref="AP42:AR42"/>
    <mergeCell ref="AY42:BD42"/>
    <mergeCell ref="AB28:AG28"/>
    <mergeCell ref="N46:Q46"/>
    <mergeCell ref="Z37:AC37"/>
    <mergeCell ref="AS36:AX36"/>
    <mergeCell ref="AS40:AX40"/>
    <mergeCell ref="AS39:AX39"/>
    <mergeCell ref="AT27:AY27"/>
    <mergeCell ref="AS46:AX46"/>
  </mergeCells>
  <dataValidations count="5">
    <dataValidation type="list" showDropDown="1" showInputMessage="1" showErrorMessage="1" sqref="F110:R110" xr:uid="{00000000-0002-0000-0600-000000000000}">
      <formula1>$BQ$97:$BQ$98</formula1>
    </dataValidation>
    <dataValidation type="list" allowBlank="1" showInputMessage="1" showErrorMessage="1" sqref="Q13:T13" xr:uid="{00000000-0002-0000-0600-000001000000}">
      <formula1>$BM$69:$BM$70</formula1>
    </dataValidation>
    <dataValidation type="list" allowBlank="1" showInputMessage="1" showErrorMessage="1" sqref="U112:X115 AH134:AX134 AH136:AX136 AV68:BC69 AY81:BB84 AY92:BB95" xr:uid="{00000000-0002-0000-0600-000002000000}">
      <formula1>$BM$69:$BM$71</formula1>
    </dataValidation>
    <dataValidation type="list" allowBlank="1" showInputMessage="1" showErrorMessage="1" sqref="BM68:BM70" xr:uid="{00000000-0002-0000-0600-000003000000}">
      <formula1>$BM$68:$BM$70</formula1>
    </dataValidation>
    <dataValidation type="list" allowBlank="1" showInputMessage="1" showErrorMessage="1" sqref="AP8:AU8" xr:uid="{00000000-0002-0000-0600-000004000000}">
      <formula1>$BM$9:$BM$13</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pageSetUpPr fitToPage="1"/>
  </sheetPr>
  <dimension ref="A1:WWV89"/>
  <sheetViews>
    <sheetView showGridLines="0" topLeftCell="A55" workbookViewId="0">
      <selection activeCell="AB54" sqref="AB54:AF54"/>
    </sheetView>
  </sheetViews>
  <sheetFormatPr defaultColWidth="0" defaultRowHeight="12.9" customHeight="1" zero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ustomWidth="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ustomWidth="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ustomWidth="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ustomWidth="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ustomWidth="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ustomWidth="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ustomWidth="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ustomWidth="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ustomWidth="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ustomWidth="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ustomWidth="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ustomWidth="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ustomWidth="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ustomWidth="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ustomWidth="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ustomWidth="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ustomWidth="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ustomWidth="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ustomWidth="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ustomWidth="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ustomWidth="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ustomWidth="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ustomWidth="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ustomWidth="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ustomWidth="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ustomWidth="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ustomWidth="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ustomWidth="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ustomWidth="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ustomWidth="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ustomWidth="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ustomWidth="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ustomWidth="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ustomWidth="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ustomWidth="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ustomWidth="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ustomWidth="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ustomWidth="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ustomWidth="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ustomWidth="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ustomWidth="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ustomWidth="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ustomWidth="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ustomWidth="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ustomWidth="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ustomWidth="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ustomWidth="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ustomWidth="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ustomWidth="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ustomWidth="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ustomWidth="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ustomWidth="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ustomWidth="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ustomWidth="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ustomWidth="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ustomWidth="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ustomWidth="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ustomWidth="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ustomWidth="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ustomWidth="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ustomWidth="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ustomWidth="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ustomWidth="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ustomWidth="1"/>
  </cols>
  <sheetData>
    <row r="1" spans="1:40" ht="12.9" customHeight="1">
      <c r="A1" s="1932" t="s">
        <v>2137</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c r="AN1" s="1417"/>
    </row>
    <row r="2" spans="1:40" ht="12.9" customHeight="1" thickBo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1305"/>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994</v>
      </c>
      <c r="C5" s="404" t="s">
        <v>382</v>
      </c>
      <c r="F5" s="404"/>
    </row>
    <row r="6" spans="1:40" ht="12.9" customHeight="1">
      <c r="A6" s="404"/>
      <c r="C6" s="402" t="s">
        <v>2138</v>
      </c>
    </row>
    <row r="7" spans="1:40" ht="12.9" customHeight="1">
      <c r="B7" s="405"/>
      <c r="C7" s="406"/>
      <c r="D7" s="406"/>
      <c r="E7" s="406"/>
      <c r="F7" s="406"/>
      <c r="G7" s="406"/>
      <c r="H7" s="406"/>
      <c r="I7" s="406"/>
      <c r="J7" s="406"/>
      <c r="K7" s="406"/>
      <c r="L7" s="406"/>
      <c r="M7" s="406"/>
      <c r="N7" s="406"/>
      <c r="O7" s="406"/>
      <c r="P7" s="406"/>
      <c r="Q7" s="406"/>
      <c r="R7" s="406"/>
      <c r="S7" s="406"/>
      <c r="T7" s="1935" t="str">
        <f>IF(T25=100%,'Sources and Basis Breakdown'!G2,'Sources and Basis Breakdown'!F2)</f>
        <v>30% PVC for New Const/
Rehabilitation
DDA/QCT
Building(s)</v>
      </c>
      <c r="U7" s="1417"/>
      <c r="V7" s="1417"/>
      <c r="W7" s="1417"/>
      <c r="X7" s="1423"/>
      <c r="Y7" s="1935" t="str">
        <f>IF(T25=100%,"",'Sources and Basis Breakdown'!G2)</f>
        <v>30% PVC for New Const/
Rehabilitation
NON-DDA/
NON-QCT Building(s)</v>
      </c>
      <c r="Z7" s="1417"/>
      <c r="AA7" s="1417"/>
      <c r="AB7" s="1417"/>
      <c r="AC7" s="1423"/>
      <c r="AD7" s="1935" t="str">
        <f>IF(T25=100%, 'Sources and Basis Breakdown'!J2,'Sources and Basis Breakdown'!I2)</f>
        <v>30% PVC for Acquisition
DDA/QCT Building(s)</v>
      </c>
      <c r="AE7" s="1417"/>
      <c r="AF7" s="1417"/>
      <c r="AG7" s="1417"/>
      <c r="AH7" s="1423"/>
      <c r="AI7" s="1935" t="str">
        <f>IF(T25=100%,"",'Sources and Basis Breakdown'!J2)</f>
        <v>30% PVC for Acquisition
NON-DDA/
NON-QCT Building(s)</v>
      </c>
      <c r="AJ7" s="1417"/>
      <c r="AK7" s="1417"/>
      <c r="AL7" s="1417"/>
      <c r="AM7" s="1423"/>
    </row>
    <row r="8" spans="1:40" ht="12.9" customHeight="1">
      <c r="B8" s="407"/>
      <c r="T8" s="1403"/>
      <c r="U8" s="1312"/>
      <c r="V8" s="1312"/>
      <c r="W8" s="1312"/>
      <c r="X8" s="1383"/>
      <c r="Y8" s="1403"/>
      <c r="Z8" s="1312"/>
      <c r="AA8" s="1312"/>
      <c r="AB8" s="1312"/>
      <c r="AC8" s="1383"/>
      <c r="AD8" s="1403"/>
      <c r="AE8" s="1312"/>
      <c r="AF8" s="1312"/>
      <c r="AG8" s="1312"/>
      <c r="AH8" s="1383"/>
      <c r="AI8" s="1403"/>
      <c r="AJ8" s="1312"/>
      <c r="AK8" s="1312"/>
      <c r="AL8" s="1312"/>
      <c r="AM8" s="1383"/>
    </row>
    <row r="9" spans="1:40" ht="12.9" customHeight="1">
      <c r="B9" s="407"/>
      <c r="T9" s="1403"/>
      <c r="U9" s="1312"/>
      <c r="V9" s="1312"/>
      <c r="W9" s="1312"/>
      <c r="X9" s="1383"/>
      <c r="Y9" s="1403"/>
      <c r="Z9" s="1312"/>
      <c r="AA9" s="1312"/>
      <c r="AB9" s="1312"/>
      <c r="AC9" s="1383"/>
      <c r="AD9" s="1403"/>
      <c r="AE9" s="1312"/>
      <c r="AF9" s="1312"/>
      <c r="AG9" s="1312"/>
      <c r="AH9" s="1383"/>
      <c r="AI9" s="1403"/>
      <c r="AJ9" s="1312"/>
      <c r="AK9" s="1312"/>
      <c r="AL9" s="1312"/>
      <c r="AM9" s="1383"/>
    </row>
    <row r="10" spans="1:40" ht="12.9" customHeight="1">
      <c r="B10" s="408"/>
      <c r="C10" s="409"/>
      <c r="D10" s="409"/>
      <c r="E10" s="409"/>
      <c r="F10" s="409"/>
      <c r="G10" s="409"/>
      <c r="H10" s="409"/>
      <c r="I10" s="409"/>
      <c r="J10" s="409"/>
      <c r="K10" s="409"/>
      <c r="L10" s="409"/>
      <c r="M10" s="409"/>
      <c r="N10" s="409"/>
      <c r="O10" s="409"/>
      <c r="P10" s="409"/>
      <c r="Q10" s="409"/>
      <c r="R10" s="409"/>
      <c r="S10" s="409"/>
      <c r="T10" s="1404"/>
      <c r="U10" s="1405"/>
      <c r="V10" s="1405"/>
      <c r="W10" s="1405"/>
      <c r="X10" s="1296"/>
      <c r="Y10" s="1404"/>
      <c r="Z10" s="1405"/>
      <c r="AA10" s="1405"/>
      <c r="AB10" s="1405"/>
      <c r="AC10" s="1296"/>
      <c r="AD10" s="1404"/>
      <c r="AE10" s="1405"/>
      <c r="AF10" s="1405"/>
      <c r="AG10" s="1405"/>
      <c r="AH10" s="1296"/>
      <c r="AI10" s="1404"/>
      <c r="AJ10" s="1405"/>
      <c r="AK10" s="1405"/>
      <c r="AL10" s="1405"/>
      <c r="AM10" s="1296"/>
    </row>
    <row r="11" spans="1:40" ht="12.9" customHeight="1">
      <c r="B11" s="1942" t="s">
        <v>1956</v>
      </c>
      <c r="C11" s="1263"/>
      <c r="D11" s="1263"/>
      <c r="E11" s="1263"/>
      <c r="F11" s="1263"/>
      <c r="G11" s="1263"/>
      <c r="H11" s="1263"/>
      <c r="I11" s="1263"/>
      <c r="J11" s="1263"/>
      <c r="K11" s="1263"/>
      <c r="L11" s="1263"/>
      <c r="M11" s="1263"/>
      <c r="N11" s="1263"/>
      <c r="O11" s="1263"/>
      <c r="P11" s="1263"/>
      <c r="Q11" s="1263"/>
      <c r="R11" s="1263"/>
      <c r="S11" s="1264"/>
      <c r="T11" s="1936">
        <f>IF('Sources and Basis Breakdown'!F107=0,'Sources and Basis Breakdown'!E107,'Sources and Basis Breakdown'!F107)</f>
        <v>14624826</v>
      </c>
      <c r="U11" s="1417"/>
      <c r="V11" s="1417"/>
      <c r="W11" s="1417"/>
      <c r="X11" s="1423"/>
      <c r="Y11" s="1936">
        <f>IF(Y7="",0,IF('Sources and Basis Breakdown'!G107+'Sources and Basis Breakdown'!F107='Sources and Basis Breakdown'!E107,'Sources and Basis Breakdown'!G107,0))</f>
        <v>0</v>
      </c>
      <c r="Z11" s="1417"/>
      <c r="AA11" s="1417"/>
      <c r="AB11" s="1417"/>
      <c r="AC11" s="1423"/>
      <c r="AD11" s="1929">
        <f>IF('Sources and Basis Breakdown'!I107=0,'Sources and Basis Breakdown'!H107,'Sources and Basis Breakdown'!I107)</f>
        <v>12727424</v>
      </c>
      <c r="AE11" s="1417"/>
      <c r="AF11" s="1417"/>
      <c r="AG11" s="1417"/>
      <c r="AH11" s="1423"/>
      <c r="AI11" s="1929">
        <f>IF(Y7="",0,IF('Sources and Basis Breakdown'!I107+'Sources and Basis Breakdown'!J107='Sources and Basis Breakdown'!H107,'Sources and Basis Breakdown'!J107,0))</f>
        <v>0</v>
      </c>
      <c r="AJ11" s="1417"/>
      <c r="AK11" s="1417"/>
      <c r="AL11" s="1417"/>
      <c r="AM11" s="1423"/>
    </row>
    <row r="12" spans="1:40" ht="12.9" customHeight="1">
      <c r="B12" s="1945" t="s">
        <v>2139</v>
      </c>
      <c r="C12" s="1263"/>
      <c r="D12" s="1263"/>
      <c r="E12" s="1263"/>
      <c r="F12" s="1263"/>
      <c r="G12" s="1263"/>
      <c r="H12" s="1263"/>
      <c r="I12" s="1263"/>
      <c r="J12" s="1263"/>
      <c r="K12" s="1263"/>
      <c r="L12" s="1263"/>
      <c r="M12" s="1263"/>
      <c r="N12" s="1263"/>
      <c r="O12" s="1263"/>
      <c r="P12" s="1263"/>
      <c r="Q12" s="1263"/>
      <c r="R12" s="1263"/>
      <c r="S12" s="1264"/>
      <c r="T12" s="1931"/>
      <c r="U12" s="1263"/>
      <c r="V12" s="1263"/>
      <c r="W12" s="1263"/>
      <c r="X12" s="1264"/>
      <c r="Y12" s="1931"/>
      <c r="Z12" s="1263"/>
      <c r="AA12" s="1263"/>
      <c r="AB12" s="1263"/>
      <c r="AC12" s="1264"/>
      <c r="AD12" s="1931"/>
      <c r="AE12" s="1263"/>
      <c r="AF12" s="1263"/>
      <c r="AG12" s="1263"/>
      <c r="AH12" s="1264"/>
      <c r="AI12" s="1931"/>
      <c r="AJ12" s="1263"/>
      <c r="AK12" s="1263"/>
      <c r="AL12" s="1263"/>
      <c r="AM12" s="1264"/>
    </row>
    <row r="13" spans="1:40" ht="12.9" customHeight="1">
      <c r="B13" s="435"/>
      <c r="C13" s="1944" t="s">
        <v>2140</v>
      </c>
      <c r="D13" s="1263"/>
      <c r="E13" s="1263"/>
      <c r="F13" s="1263"/>
      <c r="G13" s="1263"/>
      <c r="H13" s="1263"/>
      <c r="I13" s="1263"/>
      <c r="J13" s="1263"/>
      <c r="K13" s="1263"/>
      <c r="L13" s="1263"/>
      <c r="M13" s="1263"/>
      <c r="N13" s="1263"/>
      <c r="O13" s="1263"/>
      <c r="P13" s="1263"/>
      <c r="Q13" s="1263"/>
      <c r="R13" s="1263"/>
      <c r="S13" s="1264"/>
      <c r="T13" s="1930"/>
      <c r="U13" s="1294"/>
      <c r="V13" s="1294"/>
      <c r="W13" s="1294"/>
      <c r="X13" s="1388"/>
      <c r="Y13" s="1930"/>
      <c r="Z13" s="1294"/>
      <c r="AA13" s="1294"/>
      <c r="AB13" s="1294"/>
      <c r="AC13" s="1388"/>
      <c r="AD13" s="1960"/>
      <c r="AE13" s="1294"/>
      <c r="AF13" s="1294"/>
      <c r="AG13" s="1294"/>
      <c r="AH13" s="1388"/>
      <c r="AI13" s="1960"/>
      <c r="AJ13" s="1294"/>
      <c r="AK13" s="1294"/>
      <c r="AL13" s="1294"/>
      <c r="AM13" s="1388"/>
    </row>
    <row r="14" spans="1:40" ht="12.9" customHeight="1">
      <c r="B14" s="435"/>
      <c r="C14" s="1944" t="s">
        <v>2141</v>
      </c>
      <c r="D14" s="1263"/>
      <c r="E14" s="1263"/>
      <c r="F14" s="1263"/>
      <c r="G14" s="1263"/>
      <c r="H14" s="1263"/>
      <c r="I14" s="1263"/>
      <c r="J14" s="1263"/>
      <c r="K14" s="1263"/>
      <c r="L14" s="1263"/>
      <c r="M14" s="1263"/>
      <c r="N14" s="1263"/>
      <c r="O14" s="1263"/>
      <c r="P14" s="1263"/>
      <c r="Q14" s="1263"/>
      <c r="R14" s="1263"/>
      <c r="S14" s="1264"/>
      <c r="T14" s="1943"/>
      <c r="U14" s="1374"/>
      <c r="V14" s="1374"/>
      <c r="W14" s="1374"/>
      <c r="X14" s="1375"/>
      <c r="Y14" s="1943"/>
      <c r="Z14" s="1374"/>
      <c r="AA14" s="1374"/>
      <c r="AB14" s="1374"/>
      <c r="AC14" s="1375"/>
      <c r="AD14" s="1937"/>
      <c r="AE14" s="1374"/>
      <c r="AF14" s="1374"/>
      <c r="AG14" s="1374"/>
      <c r="AH14" s="1375"/>
      <c r="AI14" s="1937"/>
      <c r="AJ14" s="1374"/>
      <c r="AK14" s="1374"/>
      <c r="AL14" s="1374"/>
      <c r="AM14" s="1375"/>
    </row>
    <row r="15" spans="1:40" ht="12.9" customHeight="1">
      <c r="B15" s="435"/>
      <c r="C15" s="1944" t="s">
        <v>2142</v>
      </c>
      <c r="D15" s="1263"/>
      <c r="E15" s="1263"/>
      <c r="F15" s="1263"/>
      <c r="G15" s="1263"/>
      <c r="H15" s="1263"/>
      <c r="I15" s="1263"/>
      <c r="J15" s="1263"/>
      <c r="K15" s="1263"/>
      <c r="L15" s="1263"/>
      <c r="M15" s="1263"/>
      <c r="N15" s="1263"/>
      <c r="O15" s="1263"/>
      <c r="P15" s="1263"/>
      <c r="Q15" s="1263"/>
      <c r="R15" s="1263"/>
      <c r="S15" s="1264"/>
      <c r="T15" s="1943"/>
      <c r="U15" s="1374"/>
      <c r="V15" s="1374"/>
      <c r="W15" s="1374"/>
      <c r="X15" s="1375"/>
      <c r="Y15" s="1943"/>
      <c r="Z15" s="1374"/>
      <c r="AA15" s="1374"/>
      <c r="AB15" s="1374"/>
      <c r="AC15" s="1375"/>
      <c r="AD15" s="1937"/>
      <c r="AE15" s="1374"/>
      <c r="AF15" s="1374"/>
      <c r="AG15" s="1374"/>
      <c r="AH15" s="1375"/>
      <c r="AI15" s="1937"/>
      <c r="AJ15" s="1374"/>
      <c r="AK15" s="1374"/>
      <c r="AL15" s="1374"/>
      <c r="AM15" s="1375"/>
    </row>
    <row r="16" spans="1:40" ht="12.9" customHeight="1">
      <c r="B16" s="435"/>
      <c r="C16" s="1944" t="s">
        <v>2143</v>
      </c>
      <c r="D16" s="1263"/>
      <c r="E16" s="1263"/>
      <c r="F16" s="1263"/>
      <c r="G16" s="1263"/>
      <c r="H16" s="1263"/>
      <c r="I16" s="1263"/>
      <c r="J16" s="1263"/>
      <c r="K16" s="1263"/>
      <c r="L16" s="1263"/>
      <c r="M16" s="1263"/>
      <c r="N16" s="1263"/>
      <c r="O16" s="1263"/>
      <c r="P16" s="1263"/>
      <c r="Q16" s="1263"/>
      <c r="R16" s="1263"/>
      <c r="S16" s="1264"/>
      <c r="T16" s="1943"/>
      <c r="U16" s="1374"/>
      <c r="V16" s="1374"/>
      <c r="W16" s="1374"/>
      <c r="X16" s="1375"/>
      <c r="Y16" s="1943"/>
      <c r="Z16" s="1374"/>
      <c r="AA16" s="1374"/>
      <c r="AB16" s="1374"/>
      <c r="AC16" s="1375"/>
      <c r="AD16" s="1937"/>
      <c r="AE16" s="1374"/>
      <c r="AF16" s="1374"/>
      <c r="AG16" s="1374"/>
      <c r="AH16" s="1375"/>
      <c r="AI16" s="1937"/>
      <c r="AJ16" s="1374"/>
      <c r="AK16" s="1374"/>
      <c r="AL16" s="1374"/>
      <c r="AM16" s="1375"/>
    </row>
    <row r="17" spans="1:40" ht="12.9" customHeight="1">
      <c r="B17" s="435"/>
      <c r="C17" s="1944" t="s">
        <v>2144</v>
      </c>
      <c r="D17" s="1263"/>
      <c r="E17" s="1263"/>
      <c r="F17" s="1263"/>
      <c r="G17" s="1263"/>
      <c r="H17" s="1263"/>
      <c r="I17" s="1263"/>
      <c r="J17" s="1263"/>
      <c r="K17" s="1263"/>
      <c r="L17" s="1263"/>
      <c r="M17" s="1263"/>
      <c r="N17" s="1263"/>
      <c r="O17" s="1263"/>
      <c r="P17" s="1263"/>
      <c r="Q17" s="1263"/>
      <c r="R17" s="1263"/>
      <c r="S17" s="1264"/>
      <c r="T17" s="1943"/>
      <c r="U17" s="1374"/>
      <c r="V17" s="1374"/>
      <c r="W17" s="1374"/>
      <c r="X17" s="1375"/>
      <c r="Y17" s="1943"/>
      <c r="Z17" s="1374"/>
      <c r="AA17" s="1374"/>
      <c r="AB17" s="1374"/>
      <c r="AC17" s="1375"/>
      <c r="AD17" s="1937"/>
      <c r="AE17" s="1374"/>
      <c r="AF17" s="1374"/>
      <c r="AG17" s="1374"/>
      <c r="AH17" s="1375"/>
      <c r="AI17" s="1937"/>
      <c r="AJ17" s="1374"/>
      <c r="AK17" s="1374"/>
      <c r="AL17" s="1374"/>
      <c r="AM17" s="1375"/>
    </row>
    <row r="18" spans="1:40" ht="12.9" customHeight="1">
      <c r="B18" s="1142"/>
      <c r="C18" s="1946" t="s">
        <v>2145</v>
      </c>
      <c r="D18" s="1374"/>
      <c r="E18" s="1374"/>
      <c r="F18" s="1374"/>
      <c r="G18" s="1374"/>
      <c r="H18" s="1374"/>
      <c r="I18" s="1374"/>
      <c r="J18" s="1374"/>
      <c r="K18" s="1374"/>
      <c r="L18" s="1374"/>
      <c r="M18" s="1374"/>
      <c r="N18" s="1374"/>
      <c r="O18" s="1374"/>
      <c r="P18" s="1374"/>
      <c r="Q18" s="1374"/>
      <c r="R18" s="1374"/>
      <c r="S18" s="1375"/>
      <c r="T18" s="1943"/>
      <c r="U18" s="1374"/>
      <c r="V18" s="1374"/>
      <c r="W18" s="1374"/>
      <c r="X18" s="1375"/>
      <c r="Y18" s="1943"/>
      <c r="Z18" s="1374"/>
      <c r="AA18" s="1374"/>
      <c r="AB18" s="1374"/>
      <c r="AC18" s="1375"/>
      <c r="AD18" s="1937"/>
      <c r="AE18" s="1374"/>
      <c r="AF18" s="1374"/>
      <c r="AG18" s="1374"/>
      <c r="AH18" s="1375"/>
      <c r="AI18" s="1937"/>
      <c r="AJ18" s="1374"/>
      <c r="AK18" s="1374"/>
      <c r="AL18" s="1374"/>
      <c r="AM18" s="1375"/>
    </row>
    <row r="19" spans="1:40" ht="12.9" customHeight="1">
      <c r="B19" s="1142"/>
      <c r="C19" s="1946" t="s">
        <v>2145</v>
      </c>
      <c r="D19" s="1374"/>
      <c r="E19" s="1374"/>
      <c r="F19" s="1374"/>
      <c r="G19" s="1374"/>
      <c r="H19" s="1374"/>
      <c r="I19" s="1374"/>
      <c r="J19" s="1374"/>
      <c r="K19" s="1374"/>
      <c r="L19" s="1374"/>
      <c r="M19" s="1374"/>
      <c r="N19" s="1374"/>
      <c r="O19" s="1374"/>
      <c r="P19" s="1374"/>
      <c r="Q19" s="1374"/>
      <c r="R19" s="1374"/>
      <c r="S19" s="1375"/>
      <c r="T19" s="1943"/>
      <c r="U19" s="1374"/>
      <c r="V19" s="1374"/>
      <c r="W19" s="1374"/>
      <c r="X19" s="1375"/>
      <c r="Y19" s="1943"/>
      <c r="Z19" s="1374"/>
      <c r="AA19" s="1374"/>
      <c r="AB19" s="1374"/>
      <c r="AC19" s="1375"/>
      <c r="AD19" s="1937"/>
      <c r="AE19" s="1374"/>
      <c r="AF19" s="1374"/>
      <c r="AG19" s="1374"/>
      <c r="AH19" s="1375"/>
      <c r="AI19" s="1937"/>
      <c r="AJ19" s="1374"/>
      <c r="AK19" s="1374"/>
      <c r="AL19" s="1374"/>
      <c r="AM19" s="1375"/>
    </row>
    <row r="20" spans="1:40" ht="12.9" customHeight="1">
      <c r="B20" s="1942" t="s">
        <v>2146</v>
      </c>
      <c r="C20" s="1263"/>
      <c r="D20" s="1263"/>
      <c r="E20" s="1263"/>
      <c r="F20" s="1263"/>
      <c r="G20" s="1263"/>
      <c r="H20" s="1263"/>
      <c r="I20" s="1263"/>
      <c r="J20" s="1263"/>
      <c r="K20" s="1263"/>
      <c r="L20" s="1263"/>
      <c r="M20" s="1263"/>
      <c r="N20" s="1263"/>
      <c r="O20" s="1263"/>
      <c r="P20" s="1263"/>
      <c r="Q20" s="1263"/>
      <c r="R20" s="1263"/>
      <c r="S20" s="1264"/>
      <c r="T20" s="1938">
        <f>SUM(T13:X19)</f>
        <v>0</v>
      </c>
      <c r="U20" s="1263"/>
      <c r="V20" s="1263"/>
      <c r="W20" s="1263"/>
      <c r="X20" s="1264"/>
      <c r="Y20" s="1938">
        <f>SUM(Y13:AC19)</f>
        <v>0</v>
      </c>
      <c r="Z20" s="1263"/>
      <c r="AA20" s="1263"/>
      <c r="AB20" s="1263"/>
      <c r="AC20" s="1264"/>
      <c r="AD20" s="1940">
        <f>SUM(AD13:AH19)</f>
        <v>0</v>
      </c>
      <c r="AE20" s="1263"/>
      <c r="AF20" s="1263"/>
      <c r="AG20" s="1263"/>
      <c r="AH20" s="1264"/>
      <c r="AI20" s="1940">
        <f>SUM(AI13:AM19)</f>
        <v>0</v>
      </c>
      <c r="AJ20" s="1263"/>
      <c r="AK20" s="1263"/>
      <c r="AL20" s="1263"/>
      <c r="AM20" s="1264"/>
    </row>
    <row r="21" spans="1:40" ht="12.9" customHeight="1">
      <c r="B21" s="1942" t="s">
        <v>2147</v>
      </c>
      <c r="C21" s="1263"/>
      <c r="D21" s="1263"/>
      <c r="E21" s="1263"/>
      <c r="F21" s="1263"/>
      <c r="G21" s="1263"/>
      <c r="H21" s="1263"/>
      <c r="I21" s="1263"/>
      <c r="J21" s="1263"/>
      <c r="K21" s="1263"/>
      <c r="L21" s="1263"/>
      <c r="M21" s="1263"/>
      <c r="N21" s="1263"/>
      <c r="O21" s="1263"/>
      <c r="P21" s="1263"/>
      <c r="Q21" s="1263"/>
      <c r="R21" s="1263"/>
      <c r="S21" s="1264"/>
      <c r="T21" s="1943"/>
      <c r="U21" s="1374"/>
      <c r="V21" s="1374"/>
      <c r="W21" s="1374"/>
      <c r="X21" s="1375"/>
      <c r="Y21" s="1943"/>
      <c r="Z21" s="1374"/>
      <c r="AA21" s="1374"/>
      <c r="AB21" s="1374"/>
      <c r="AC21" s="1375"/>
      <c r="AD21" s="1931"/>
      <c r="AE21" s="1263"/>
      <c r="AF21" s="1263"/>
      <c r="AG21" s="1263"/>
      <c r="AH21" s="1264"/>
      <c r="AI21" s="1931"/>
      <c r="AJ21" s="1263"/>
      <c r="AK21" s="1263"/>
      <c r="AL21" s="1263"/>
      <c r="AM21" s="1264"/>
    </row>
    <row r="22" spans="1:40" ht="12.9" customHeight="1">
      <c r="B22" s="1942" t="s">
        <v>2148</v>
      </c>
      <c r="C22" s="1263"/>
      <c r="D22" s="1263"/>
      <c r="E22" s="1263"/>
      <c r="F22" s="1263"/>
      <c r="G22" s="1263"/>
      <c r="H22" s="1263"/>
      <c r="I22" s="1263"/>
      <c r="J22" s="1263"/>
      <c r="K22" s="1263"/>
      <c r="L22" s="1263"/>
      <c r="M22" s="1263"/>
      <c r="N22" s="1263"/>
      <c r="O22" s="1263"/>
      <c r="P22" s="1263"/>
      <c r="Q22" s="1263"/>
      <c r="R22" s="1263"/>
      <c r="S22" s="1264"/>
      <c r="T22" s="1941">
        <f>(ABS(T20)+ABS(T21))*-1</f>
        <v>0</v>
      </c>
      <c r="U22" s="1263"/>
      <c r="V22" s="1263"/>
      <c r="W22" s="1263"/>
      <c r="X22" s="1264"/>
      <c r="Y22" s="1941">
        <f>(Y20+Y21)*-1</f>
        <v>0</v>
      </c>
      <c r="Z22" s="1263"/>
      <c r="AA22" s="1263"/>
      <c r="AB22" s="1263"/>
      <c r="AC22" s="1264"/>
      <c r="AD22" s="1957">
        <f>(AD20)*-1</f>
        <v>0</v>
      </c>
      <c r="AE22" s="1263"/>
      <c r="AF22" s="1263"/>
      <c r="AG22" s="1263"/>
      <c r="AH22" s="1264"/>
      <c r="AI22" s="1957">
        <f>(AI20)*-1</f>
        <v>0</v>
      </c>
      <c r="AJ22" s="1263"/>
      <c r="AK22" s="1263"/>
      <c r="AL22" s="1263"/>
      <c r="AM22" s="1264"/>
    </row>
    <row r="23" spans="1:40" ht="12.9" customHeight="1">
      <c r="B23" s="1942" t="s">
        <v>2149</v>
      </c>
      <c r="C23" s="1263"/>
      <c r="D23" s="1263"/>
      <c r="E23" s="1263"/>
      <c r="F23" s="1263"/>
      <c r="G23" s="1263"/>
      <c r="H23" s="1263"/>
      <c r="I23" s="1263"/>
      <c r="J23" s="1263"/>
      <c r="K23" s="1263"/>
      <c r="L23" s="1263"/>
      <c r="M23" s="1263"/>
      <c r="N23" s="1263"/>
      <c r="O23" s="1263"/>
      <c r="P23" s="1263"/>
      <c r="Q23" s="1263"/>
      <c r="R23" s="1263"/>
      <c r="S23" s="1264"/>
      <c r="T23" s="1938">
        <f>T11+T22</f>
        <v>14624826</v>
      </c>
      <c r="U23" s="1263"/>
      <c r="V23" s="1263"/>
      <c r="W23" s="1263"/>
      <c r="X23" s="1264"/>
      <c r="Y23" s="1938">
        <f>Y11+Y22</f>
        <v>0</v>
      </c>
      <c r="Z23" s="1263"/>
      <c r="AA23" s="1263"/>
      <c r="AB23" s="1263"/>
      <c r="AC23" s="1264"/>
      <c r="AD23" s="1938">
        <f>AD11+AD22</f>
        <v>12727424</v>
      </c>
      <c r="AE23" s="1263"/>
      <c r="AF23" s="1263"/>
      <c r="AG23" s="1263"/>
      <c r="AH23" s="1264"/>
      <c r="AI23" s="1938">
        <f>AI11+AI22</f>
        <v>0</v>
      </c>
      <c r="AJ23" s="1263"/>
      <c r="AK23" s="1263"/>
      <c r="AL23" s="1263"/>
      <c r="AM23" s="1264"/>
    </row>
    <row r="24" spans="1:40" ht="12.9" customHeight="1">
      <c r="B24" s="1942" t="s">
        <v>2150</v>
      </c>
      <c r="C24" s="1263"/>
      <c r="D24" s="1263"/>
      <c r="E24" s="1263"/>
      <c r="F24" s="1263"/>
      <c r="G24" s="1263"/>
      <c r="H24" s="1263"/>
      <c r="I24" s="1263"/>
      <c r="J24" s="1263"/>
      <c r="K24" s="1263"/>
      <c r="L24" s="1263"/>
      <c r="M24" s="1263"/>
      <c r="N24" s="1263"/>
      <c r="O24" s="1263"/>
      <c r="P24" s="1263"/>
      <c r="Q24" s="1263"/>
      <c r="R24" s="1263"/>
      <c r="S24" s="1264"/>
      <c r="T24" s="1940">
        <f>Application!AJ1062</f>
        <v>83279551.840000004</v>
      </c>
      <c r="U24" s="1263"/>
      <c r="V24" s="1263"/>
      <c r="W24" s="1263"/>
      <c r="X24" s="1263"/>
      <c r="Y24" s="1263"/>
      <c r="Z24" s="1263"/>
      <c r="AA24" s="1263"/>
      <c r="AB24" s="1263"/>
      <c r="AC24" s="1263"/>
      <c r="AD24" s="1263"/>
      <c r="AE24" s="1263"/>
      <c r="AF24" s="1263"/>
      <c r="AG24" s="1263"/>
      <c r="AH24" s="1263"/>
      <c r="AI24" s="1263"/>
      <c r="AJ24" s="1263"/>
      <c r="AK24" s="1263"/>
      <c r="AL24" s="1263"/>
      <c r="AM24" s="1264"/>
    </row>
    <row r="25" spans="1:40" ht="12.9" customHeight="1">
      <c r="B25" s="1958" t="s">
        <v>2151</v>
      </c>
      <c r="C25" s="1263"/>
      <c r="D25" s="1263"/>
      <c r="E25" s="1263"/>
      <c r="F25" s="1263"/>
      <c r="G25" s="1263"/>
      <c r="H25" s="1263"/>
      <c r="I25" s="1263"/>
      <c r="J25" s="1263"/>
      <c r="K25" s="1263"/>
      <c r="L25" s="1263"/>
      <c r="M25" s="1263"/>
      <c r="N25" s="1263"/>
      <c r="O25" s="1263"/>
      <c r="P25" s="1263"/>
      <c r="Q25" s="1263"/>
      <c r="R25" s="1263"/>
      <c r="S25" s="1264"/>
      <c r="T25" s="1961">
        <f>IF(OR(Application!T196="yes",Application!T195="yes"),1.3,1)</f>
        <v>1.3</v>
      </c>
      <c r="U25" s="1405"/>
      <c r="V25" s="1405"/>
      <c r="W25" s="1405"/>
      <c r="X25" s="1405"/>
      <c r="Y25" s="1961">
        <v>1</v>
      </c>
      <c r="Z25" s="1405"/>
      <c r="AA25" s="1405"/>
      <c r="AB25" s="1405"/>
      <c r="AC25" s="1405"/>
      <c r="AD25" s="1963">
        <v>1</v>
      </c>
      <c r="AE25" s="1405"/>
      <c r="AF25" s="1405"/>
      <c r="AG25" s="1405"/>
      <c r="AH25" s="1296"/>
      <c r="AI25" s="1963">
        <v>1</v>
      </c>
      <c r="AJ25" s="1405"/>
      <c r="AK25" s="1405"/>
      <c r="AL25" s="1405"/>
      <c r="AM25" s="1296"/>
    </row>
    <row r="26" spans="1:40" ht="12.9" customHeight="1">
      <c r="B26" s="1942" t="s">
        <v>2152</v>
      </c>
      <c r="C26" s="1263"/>
      <c r="D26" s="1263"/>
      <c r="E26" s="1263"/>
      <c r="F26" s="1263"/>
      <c r="G26" s="1263"/>
      <c r="H26" s="1263"/>
      <c r="I26" s="1263"/>
      <c r="J26" s="1263"/>
      <c r="K26" s="1263"/>
      <c r="L26" s="1263"/>
      <c r="M26" s="1263"/>
      <c r="N26" s="1263"/>
      <c r="O26" s="1263"/>
      <c r="P26" s="1263"/>
      <c r="Q26" s="1263"/>
      <c r="R26" s="1263"/>
      <c r="S26" s="1264"/>
      <c r="T26" s="1938">
        <f>T23*T25</f>
        <v>19012273.800000001</v>
      </c>
      <c r="U26" s="1263"/>
      <c r="V26" s="1263"/>
      <c r="W26" s="1263"/>
      <c r="X26" s="1264"/>
      <c r="Y26" s="1938">
        <f>Y23*Y25</f>
        <v>0</v>
      </c>
      <c r="Z26" s="1263"/>
      <c r="AA26" s="1263"/>
      <c r="AB26" s="1263"/>
      <c r="AC26" s="1264"/>
      <c r="AD26" s="1938">
        <f>AD23*AD25</f>
        <v>12727424</v>
      </c>
      <c r="AE26" s="1263"/>
      <c r="AF26" s="1263"/>
      <c r="AG26" s="1263"/>
      <c r="AH26" s="1264"/>
      <c r="AI26" s="1938">
        <f>AI23*AI25</f>
        <v>0</v>
      </c>
      <c r="AJ26" s="1263"/>
      <c r="AK26" s="1263"/>
      <c r="AL26" s="1263"/>
      <c r="AM26" s="1264"/>
    </row>
    <row r="27" spans="1:40" ht="12.9" customHeight="1">
      <c r="A27" s="410"/>
      <c r="B27" s="1964" t="s">
        <v>2153</v>
      </c>
      <c r="C27" s="1263"/>
      <c r="D27" s="1263"/>
      <c r="E27" s="1263"/>
      <c r="F27" s="1263"/>
      <c r="G27" s="1263"/>
      <c r="H27" s="1263"/>
      <c r="I27" s="1263"/>
      <c r="J27" s="1263"/>
      <c r="K27" s="1263"/>
      <c r="L27" s="1263"/>
      <c r="M27" s="1263"/>
      <c r="N27" s="1263"/>
      <c r="O27" s="1263"/>
      <c r="P27" s="1263"/>
      <c r="Q27" s="1263"/>
      <c r="R27" s="1263"/>
      <c r="S27" s="1264"/>
      <c r="T27" s="1939">
        <f>Application!$AG$454</f>
        <v>1</v>
      </c>
      <c r="U27" s="1263"/>
      <c r="V27" s="1263"/>
      <c r="W27" s="1263"/>
      <c r="X27" s="1264"/>
      <c r="Y27" s="1939">
        <f>Application!$AG$454</f>
        <v>1</v>
      </c>
      <c r="Z27" s="1263"/>
      <c r="AA27" s="1263"/>
      <c r="AB27" s="1263"/>
      <c r="AC27" s="1264"/>
      <c r="AD27" s="1939">
        <f>Application!$AG$454</f>
        <v>1</v>
      </c>
      <c r="AE27" s="1263"/>
      <c r="AF27" s="1263"/>
      <c r="AG27" s="1263"/>
      <c r="AH27" s="1264"/>
      <c r="AI27" s="1939">
        <f>Application!$AG$454</f>
        <v>1</v>
      </c>
      <c r="AJ27" s="1263"/>
      <c r="AK27" s="1263"/>
      <c r="AL27" s="1263"/>
      <c r="AM27" s="1264"/>
    </row>
    <row r="28" spans="1:40" ht="12.9" customHeight="1">
      <c r="A28" s="404"/>
      <c r="B28" s="1942" t="s">
        <v>2154</v>
      </c>
      <c r="C28" s="1263"/>
      <c r="D28" s="1263"/>
      <c r="E28" s="1263"/>
      <c r="F28" s="1263"/>
      <c r="G28" s="1263"/>
      <c r="H28" s="1263"/>
      <c r="I28" s="1263"/>
      <c r="J28" s="1263"/>
      <c r="K28" s="1263"/>
      <c r="L28" s="1263"/>
      <c r="M28" s="1263"/>
      <c r="N28" s="1263"/>
      <c r="O28" s="1263"/>
      <c r="P28" s="1263"/>
      <c r="Q28" s="1263"/>
      <c r="R28" s="1263"/>
      <c r="S28" s="1264"/>
      <c r="T28" s="1938">
        <f>IF(ISERROR((T26*T27)),0,(T26*T27))</f>
        <v>19012273.800000001</v>
      </c>
      <c r="U28" s="1263"/>
      <c r="V28" s="1263"/>
      <c r="W28" s="1263"/>
      <c r="X28" s="1264"/>
      <c r="Y28" s="1938">
        <f>IF(ISERROR((Y26*Y27)),0,(Y26*Y27))</f>
        <v>0</v>
      </c>
      <c r="Z28" s="1263"/>
      <c r="AA28" s="1263"/>
      <c r="AB28" s="1263"/>
      <c r="AC28" s="1264"/>
      <c r="AD28" s="1938">
        <f>IF(ISERROR((AD26*AD27)),0,(AD26*AD27))</f>
        <v>12727424</v>
      </c>
      <c r="AE28" s="1263"/>
      <c r="AF28" s="1263"/>
      <c r="AG28" s="1263"/>
      <c r="AH28" s="1264"/>
      <c r="AI28" s="1938">
        <f>IF(ISERROR((AI26*AI27)),0,(AI26*AI27))</f>
        <v>0</v>
      </c>
      <c r="AJ28" s="1263"/>
      <c r="AK28" s="1263"/>
      <c r="AL28" s="1263"/>
      <c r="AM28" s="1264"/>
    </row>
    <row r="29" spans="1:40" ht="12.9" customHeight="1">
      <c r="B29" s="1942" t="s">
        <v>2155</v>
      </c>
      <c r="C29" s="1263"/>
      <c r="D29" s="1263"/>
      <c r="E29" s="1263"/>
      <c r="F29" s="1263"/>
      <c r="G29" s="1263"/>
      <c r="H29" s="1263"/>
      <c r="I29" s="1263"/>
      <c r="J29" s="1263"/>
      <c r="K29" s="1263"/>
      <c r="L29" s="1263"/>
      <c r="M29" s="1263"/>
      <c r="N29" s="1263"/>
      <c r="O29" s="1263"/>
      <c r="P29" s="1263"/>
      <c r="Q29" s="1263"/>
      <c r="R29" s="1263"/>
      <c r="S29" s="1264"/>
      <c r="T29" s="1940">
        <f>T28+Y28+AD28+AI28</f>
        <v>31739697.800000001</v>
      </c>
      <c r="U29" s="1263"/>
      <c r="V29" s="1263"/>
      <c r="W29" s="1263"/>
      <c r="X29" s="1263"/>
      <c r="Y29" s="1263"/>
      <c r="Z29" s="1263"/>
      <c r="AA29" s="1263"/>
      <c r="AB29" s="1263"/>
      <c r="AC29" s="1263"/>
      <c r="AD29" s="1263"/>
      <c r="AE29" s="1263"/>
      <c r="AF29" s="1263"/>
      <c r="AG29" s="1263"/>
      <c r="AH29" s="1263"/>
      <c r="AI29" s="1263"/>
      <c r="AJ29" s="1263"/>
      <c r="AK29" s="1263"/>
      <c r="AL29" s="1263"/>
      <c r="AM29" s="1264"/>
    </row>
    <row r="30" spans="1:40" ht="12.9" customHeight="1">
      <c r="B30" s="1934" t="s">
        <v>2156</v>
      </c>
      <c r="C30" s="1312"/>
      <c r="D30" s="1312"/>
      <c r="E30" s="1312"/>
      <c r="F30" s="1312"/>
      <c r="G30" s="1312"/>
      <c r="H30" s="1312"/>
      <c r="I30" s="1312"/>
      <c r="J30" s="1312"/>
      <c r="K30" s="1312"/>
      <c r="L30" s="1312"/>
      <c r="M30" s="1312"/>
      <c r="N30" s="1312"/>
      <c r="O30" s="1312"/>
      <c r="P30" s="1312"/>
      <c r="Q30" s="1312"/>
      <c r="R30" s="1312"/>
      <c r="S30" s="1312"/>
      <c r="T30" s="1312"/>
      <c r="U30" s="1312"/>
      <c r="V30" s="1312"/>
      <c r="W30" s="1312"/>
      <c r="X30" s="1312"/>
      <c r="Y30" s="1312"/>
      <c r="Z30" s="1312"/>
      <c r="AA30" s="1312"/>
      <c r="AB30" s="1312"/>
      <c r="AC30" s="1312"/>
      <c r="AD30" s="1312"/>
      <c r="AE30" s="1312"/>
      <c r="AF30" s="1312"/>
      <c r="AG30" s="1312"/>
      <c r="AH30" s="1312"/>
      <c r="AI30" s="1312"/>
      <c r="AJ30" s="1312"/>
      <c r="AK30" s="1312"/>
      <c r="AL30" s="1312"/>
      <c r="AM30" s="1312"/>
    </row>
    <row r="31" spans="1:40" ht="12.9" customHeight="1">
      <c r="B31" s="1934" t="s">
        <v>2157</v>
      </c>
      <c r="C31" s="1312"/>
      <c r="D31" s="1312"/>
      <c r="E31" s="1312"/>
      <c r="F31" s="1312"/>
      <c r="G31" s="1312"/>
      <c r="H31" s="1312"/>
      <c r="I31" s="1312"/>
      <c r="J31" s="1312"/>
      <c r="K31" s="1312"/>
      <c r="L31" s="1312"/>
      <c r="M31" s="1312"/>
      <c r="N31" s="1312"/>
      <c r="O31" s="1312"/>
      <c r="P31" s="1312"/>
      <c r="Q31" s="1312"/>
      <c r="R31" s="1312"/>
      <c r="S31" s="1312"/>
      <c r="T31" s="1312"/>
      <c r="U31" s="1312"/>
      <c r="V31" s="1312"/>
      <c r="W31" s="1312"/>
      <c r="X31" s="1312"/>
      <c r="Y31" s="1312"/>
      <c r="Z31" s="1312"/>
      <c r="AA31" s="1312"/>
      <c r="AB31" s="1312"/>
      <c r="AC31" s="1312"/>
      <c r="AD31" s="1312"/>
      <c r="AE31" s="1312"/>
      <c r="AF31" s="1312"/>
      <c r="AG31" s="1312"/>
      <c r="AH31" s="1312"/>
      <c r="AI31" s="1312"/>
      <c r="AJ31" s="1312"/>
      <c r="AK31" s="1312"/>
      <c r="AL31" s="1312"/>
      <c r="AM31" s="1312"/>
      <c r="AN31" s="518"/>
    </row>
    <row r="32" spans="1:40" ht="12.9" customHeight="1">
      <c r="B32" s="434"/>
      <c r="C32" s="511" t="s">
        <v>2158</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 customHeight="1"/>
    <row r="34" spans="1:76" ht="12.9" customHeight="1">
      <c r="A34" s="404" t="s">
        <v>1031</v>
      </c>
      <c r="C34" s="404" t="s">
        <v>391</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1935" t="s">
        <v>2159</v>
      </c>
      <c r="Z35" s="1417"/>
      <c r="AA35" s="1417"/>
      <c r="AB35" s="1417"/>
      <c r="AC35" s="1423"/>
      <c r="AD35" s="1962" t="s">
        <v>2160</v>
      </c>
      <c r="AE35" s="1417"/>
      <c r="AF35" s="1417"/>
      <c r="AG35" s="1417"/>
      <c r="AH35" s="1423"/>
    </row>
    <row r="36" spans="1:76" ht="12.9" customHeight="1">
      <c r="B36" s="407"/>
      <c r="X36" s="412"/>
      <c r="Y36" s="1403"/>
      <c r="Z36" s="1312"/>
      <c r="AA36" s="1312"/>
      <c r="AB36" s="1312"/>
      <c r="AC36" s="1383"/>
      <c r="AD36" s="1403"/>
      <c r="AE36" s="1312"/>
      <c r="AF36" s="1312"/>
      <c r="AG36" s="1312"/>
      <c r="AH36" s="138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1404"/>
      <c r="Z37" s="1405"/>
      <c r="AA37" s="1405"/>
      <c r="AB37" s="1405"/>
      <c r="AC37" s="1296"/>
      <c r="AD37" s="1404"/>
      <c r="AE37" s="1405"/>
      <c r="AF37" s="1405"/>
      <c r="AG37" s="1405"/>
      <c r="AH37" s="1296"/>
    </row>
    <row r="38" spans="1:76" ht="12.9" customHeight="1">
      <c r="A38" s="404"/>
      <c r="B38" s="1942" t="s">
        <v>2154</v>
      </c>
      <c r="C38" s="1263"/>
      <c r="D38" s="1263"/>
      <c r="E38" s="1263"/>
      <c r="F38" s="1263"/>
      <c r="G38" s="1263"/>
      <c r="H38" s="1263"/>
      <c r="I38" s="1263"/>
      <c r="J38" s="1263"/>
      <c r="K38" s="1263"/>
      <c r="L38" s="1263"/>
      <c r="M38" s="1263"/>
      <c r="N38" s="1263"/>
      <c r="O38" s="1263"/>
      <c r="P38" s="1263"/>
      <c r="Q38" s="1263"/>
      <c r="R38" s="1263"/>
      <c r="S38" s="1263"/>
      <c r="T38" s="1263"/>
      <c r="U38" s="1263"/>
      <c r="V38" s="1263"/>
      <c r="W38" s="1263"/>
      <c r="X38" s="1264"/>
      <c r="Y38" s="1940">
        <f>IF(T24&gt;=(T23+Y23+AD23+AI23),T28+Y28,0)</f>
        <v>19012273.800000001</v>
      </c>
      <c r="Z38" s="1263"/>
      <c r="AA38" s="1263"/>
      <c r="AB38" s="1263"/>
      <c r="AC38" s="1264"/>
      <c r="AD38" s="1940">
        <f>IF(T24&gt;=(T23+Y23+AD23+AI23),AD28+AI28,0)</f>
        <v>12727424</v>
      </c>
      <c r="AE38" s="1263"/>
      <c r="AF38" s="1263"/>
      <c r="AG38" s="1263"/>
      <c r="AH38" s="1264"/>
    </row>
    <row r="39" spans="1:76" ht="12.9" customHeight="1">
      <c r="B39" s="1942" t="s">
        <v>2161</v>
      </c>
      <c r="C39" s="1263"/>
      <c r="D39" s="1263"/>
      <c r="E39" s="1263"/>
      <c r="F39" s="1263"/>
      <c r="G39" s="1263"/>
      <c r="H39" s="1263"/>
      <c r="I39" s="1263"/>
      <c r="J39" s="1263"/>
      <c r="K39" s="1263"/>
      <c r="L39" s="1263"/>
      <c r="M39" s="1263"/>
      <c r="N39" s="1263"/>
      <c r="O39" s="1263"/>
      <c r="P39" s="1263"/>
      <c r="Q39" s="1263"/>
      <c r="R39" s="1263"/>
      <c r="S39" s="1263"/>
      <c r="T39" s="1263"/>
      <c r="U39" s="1263"/>
      <c r="V39" s="1263"/>
      <c r="W39" s="1263"/>
      <c r="X39" s="1264"/>
      <c r="Y39" s="1948">
        <v>0.04</v>
      </c>
      <c r="Z39" s="1374"/>
      <c r="AA39" s="1374"/>
      <c r="AB39" s="1374"/>
      <c r="AC39" s="1375"/>
      <c r="AD39" s="1948">
        <v>0.04</v>
      </c>
      <c r="AE39" s="1374"/>
      <c r="AF39" s="1374"/>
      <c r="AG39" s="1374"/>
      <c r="AH39" s="1375"/>
    </row>
    <row r="40" spans="1:76" ht="12.9" customHeight="1">
      <c r="A40" s="404"/>
      <c r="B40" s="1942" t="s">
        <v>2162</v>
      </c>
      <c r="C40" s="1263"/>
      <c r="D40" s="1263"/>
      <c r="E40" s="1263"/>
      <c r="F40" s="1263"/>
      <c r="G40" s="1263"/>
      <c r="H40" s="1263"/>
      <c r="I40" s="1263"/>
      <c r="J40" s="1263"/>
      <c r="K40" s="1263"/>
      <c r="L40" s="1263"/>
      <c r="M40" s="1263"/>
      <c r="N40" s="1263"/>
      <c r="O40" s="1263"/>
      <c r="P40" s="1263"/>
      <c r="Q40" s="1263"/>
      <c r="R40" s="1263"/>
      <c r="S40" s="1263"/>
      <c r="T40" s="1263"/>
      <c r="U40" s="1263"/>
      <c r="V40" s="1263"/>
      <c r="W40" s="1263"/>
      <c r="X40" s="1264"/>
      <c r="Y40" s="1940">
        <f>ROUND(Y38*Y39,0)</f>
        <v>760491</v>
      </c>
      <c r="Z40" s="1263"/>
      <c r="AA40" s="1263"/>
      <c r="AB40" s="1263"/>
      <c r="AC40" s="1264"/>
      <c r="AD40" s="1938">
        <f>ROUND(AD38*AD39,0)</f>
        <v>509097</v>
      </c>
      <c r="AE40" s="1263"/>
      <c r="AF40" s="1263"/>
      <c r="AG40" s="1263"/>
      <c r="AH40" s="1264"/>
    </row>
    <row r="41" spans="1:76" ht="12.9" customHeight="1">
      <c r="B41" s="1942" t="s">
        <v>2163</v>
      </c>
      <c r="C41" s="1263"/>
      <c r="D41" s="1263"/>
      <c r="E41" s="1263"/>
      <c r="F41" s="1263"/>
      <c r="G41" s="1263"/>
      <c r="H41" s="1263"/>
      <c r="I41" s="1263"/>
      <c r="J41" s="1263"/>
      <c r="K41" s="1263"/>
      <c r="L41" s="1263"/>
      <c r="M41" s="1263"/>
      <c r="N41" s="1263"/>
      <c r="O41" s="1263"/>
      <c r="P41" s="1263"/>
      <c r="Q41" s="1263"/>
      <c r="R41" s="1263"/>
      <c r="S41" s="1263"/>
      <c r="T41" s="1263"/>
      <c r="U41" s="1263"/>
      <c r="V41" s="1263"/>
      <c r="W41" s="1263"/>
      <c r="X41" s="1264"/>
      <c r="Y41" s="1940">
        <f>Y40+AD40</f>
        <v>1269588</v>
      </c>
      <c r="Z41" s="1263"/>
      <c r="AA41" s="1263"/>
      <c r="AB41" s="1263"/>
      <c r="AC41" s="1263"/>
      <c r="AD41" s="1263"/>
      <c r="AE41" s="1263"/>
      <c r="AF41" s="1263"/>
      <c r="AG41" s="1263"/>
      <c r="AH41" s="1264"/>
    </row>
    <row r="42" spans="1:76" ht="12.9"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1950" t="s">
        <v>2164</v>
      </c>
      <c r="B44" s="1305"/>
      <c r="C44" s="1305"/>
      <c r="D44" s="1305"/>
      <c r="E44" s="1305"/>
      <c r="F44" s="1305"/>
      <c r="G44" s="1305"/>
      <c r="H44" s="1305"/>
      <c r="I44" s="1305"/>
      <c r="J44" s="1305"/>
      <c r="K44" s="1305"/>
      <c r="L44" s="1305"/>
      <c r="M44" s="1305"/>
      <c r="N44" s="1305"/>
      <c r="O44" s="1305"/>
      <c r="P44" s="1305"/>
      <c r="Q44" s="1305"/>
      <c r="R44" s="1305"/>
      <c r="S44" s="1305"/>
      <c r="T44" s="1305"/>
      <c r="U44" s="1305"/>
      <c r="V44" s="1305"/>
      <c r="W44" s="1305"/>
      <c r="X44" s="1305"/>
      <c r="Y44" s="1305"/>
      <c r="Z44" s="1305"/>
      <c r="AA44" s="1305"/>
      <c r="AB44" s="1305"/>
      <c r="AC44" s="1305"/>
      <c r="AD44" s="1305"/>
      <c r="AE44" s="1305"/>
      <c r="AF44" s="1305"/>
      <c r="AG44" s="1305"/>
      <c r="AH44" s="1305"/>
      <c r="AI44" s="1305"/>
      <c r="AJ44" s="1305"/>
      <c r="AK44" s="1305"/>
      <c r="AL44" s="1305"/>
      <c r="AM44" s="1305"/>
      <c r="AN44" s="1305"/>
      <c r="AO44" s="1305"/>
      <c r="AP44" s="1305"/>
      <c r="AQ44" s="1305"/>
      <c r="AR44" s="1305"/>
      <c r="AS44" s="1305"/>
      <c r="AT44" s="1305"/>
      <c r="AU44" s="1305"/>
      <c r="AV44" s="1305"/>
      <c r="AW44" s="1305"/>
      <c r="AX44" s="1305"/>
      <c r="AY44" s="1305"/>
      <c r="AZ44" s="1305"/>
      <c r="BA44" s="1305"/>
      <c r="BB44" s="1305"/>
      <c r="BC44" s="1305"/>
      <c r="BD44" s="1305"/>
      <c r="BE44" s="1305"/>
      <c r="BF44" s="1305"/>
      <c r="BG44" s="1305"/>
      <c r="BH44" s="1305"/>
      <c r="BI44" s="1305"/>
      <c r="BJ44" s="1305"/>
      <c r="BK44" s="1305"/>
      <c r="BL44" s="1305"/>
      <c r="BM44" s="1305"/>
      <c r="BN44" s="1305"/>
      <c r="BO44" s="1305"/>
      <c r="BP44" s="1305"/>
      <c r="BQ44" s="1305"/>
      <c r="BR44" s="1305"/>
      <c r="BS44" s="1305"/>
      <c r="BT44" s="1305"/>
      <c r="BU44" s="1305"/>
      <c r="BV44" s="1305"/>
      <c r="BW44" s="1305"/>
      <c r="BX44" s="1305"/>
    </row>
    <row r="45" spans="1:76" s="204" customFormat="1" ht="12.9" customHeight="1" thickTop="1"/>
    <row r="46" spans="1:76" ht="12.9" customHeight="1">
      <c r="A46" s="404" t="s">
        <v>1106</v>
      </c>
      <c r="C46" s="404" t="s">
        <v>394</v>
      </c>
    </row>
    <row r="47" spans="1:76" ht="12.9" customHeight="1">
      <c r="D47" s="404" t="s">
        <v>794</v>
      </c>
      <c r="AB47" s="1949">
        <f>'Sources and Uses Budget'!B105-MAX(IF('Sources and Uses Budget'!B15="",0,'Sources and Uses Budget'!B15),IF(Application!AG403="",0,Application!AG403))</f>
        <v>30975182</v>
      </c>
      <c r="AC47" s="1263"/>
      <c r="AD47" s="1263"/>
      <c r="AE47" s="1263"/>
      <c r="AF47" s="1264"/>
    </row>
    <row r="48" spans="1:76" ht="12.9" customHeight="1">
      <c r="D48" s="404" t="s">
        <v>287</v>
      </c>
      <c r="AB48" s="1949">
        <f>Application!AO647-MAX(IF('Sources and Uses Budget'!B15="",0,'Sources and Uses Budget'!B15),IF(Application!AG403="",0,Application!AG403))</f>
        <v>20819494</v>
      </c>
      <c r="AC48" s="1263"/>
      <c r="AD48" s="1263"/>
      <c r="AE48" s="1263"/>
      <c r="AF48" s="1264"/>
    </row>
    <row r="49" spans="1:76" ht="12.9" customHeight="1">
      <c r="D49" s="404" t="s">
        <v>2165</v>
      </c>
      <c r="AB49" s="1949">
        <f>AB47-AB48</f>
        <v>10155688</v>
      </c>
      <c r="AC49" s="1263"/>
      <c r="AD49" s="1263"/>
      <c r="AE49" s="1263"/>
      <c r="AF49" s="1264"/>
    </row>
    <row r="50" spans="1:76" ht="12.9" customHeight="1">
      <c r="D50" s="404" t="s">
        <v>2166</v>
      </c>
      <c r="AA50" s="415"/>
      <c r="AB50" s="1933">
        <v>0.8</v>
      </c>
      <c r="AC50" s="1374"/>
      <c r="AD50" s="1374"/>
      <c r="AE50" s="1374"/>
      <c r="AF50" s="1375"/>
    </row>
    <row r="51" spans="1:76" s="417" customFormat="1" ht="12.9" customHeight="1">
      <c r="A51" s="402"/>
      <c r="B51" s="402"/>
      <c r="C51" s="402"/>
      <c r="D51" s="402"/>
      <c r="E51" s="1959" t="s">
        <v>2167</v>
      </c>
      <c r="F51" s="1367"/>
      <c r="G51" s="1367"/>
      <c r="H51" s="1367"/>
      <c r="I51" s="1367"/>
      <c r="J51" s="1367"/>
      <c r="K51" s="1367"/>
      <c r="L51" s="1367"/>
      <c r="M51" s="1367"/>
      <c r="N51" s="1367"/>
      <c r="O51" s="1367"/>
      <c r="P51" s="1367"/>
      <c r="Q51" s="1367"/>
      <c r="R51" s="1367"/>
      <c r="S51" s="1367"/>
      <c r="T51" s="1367"/>
      <c r="U51" s="1367"/>
      <c r="V51" s="1367"/>
      <c r="W51" s="1367"/>
      <c r="X51" s="1367"/>
      <c r="Y51" s="1367"/>
      <c r="Z51" s="136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1367"/>
      <c r="F52" s="1367"/>
      <c r="G52" s="1367"/>
      <c r="H52" s="1367"/>
      <c r="I52" s="1367"/>
      <c r="J52" s="1367"/>
      <c r="K52" s="1367"/>
      <c r="L52" s="1367"/>
      <c r="M52" s="1367"/>
      <c r="N52" s="1367"/>
      <c r="O52" s="1367"/>
      <c r="P52" s="1367"/>
      <c r="Q52" s="1367"/>
      <c r="R52" s="1367"/>
      <c r="S52" s="1367"/>
      <c r="T52" s="1367"/>
      <c r="U52" s="1367"/>
      <c r="V52" s="1367"/>
      <c r="W52" s="1367"/>
      <c r="X52" s="1367"/>
      <c r="Y52" s="1367"/>
      <c r="Z52" s="136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2168</v>
      </c>
      <c r="AB54" s="1949">
        <f>ROUND(IF(ISERROR((AB49/AB50)),0,(AB49/AB50)),0)</f>
        <v>12694610</v>
      </c>
      <c r="AC54" s="1263"/>
      <c r="AD54" s="1263"/>
      <c r="AE54" s="1263"/>
      <c r="AF54" s="1264"/>
    </row>
    <row r="55" spans="1:76" ht="12.9" customHeight="1">
      <c r="D55" s="404" t="s">
        <v>2169</v>
      </c>
      <c r="AB55" s="1949">
        <f>(AB54/10)</f>
        <v>1269461</v>
      </c>
      <c r="AC55" s="1263"/>
      <c r="AD55" s="1263"/>
      <c r="AE55" s="1263"/>
      <c r="AF55" s="1264"/>
    </row>
    <row r="56" spans="1:76" ht="12.9" customHeight="1">
      <c r="D56" s="404" t="s">
        <v>2170</v>
      </c>
      <c r="AB56" s="1949">
        <f>ROUND((IF((Y41&lt;AB55),Y41,AB55)),0)</f>
        <v>1269461</v>
      </c>
      <c r="AC56" s="1263"/>
      <c r="AD56" s="1263"/>
      <c r="AE56" s="1263"/>
      <c r="AF56" s="1264"/>
    </row>
    <row r="57" spans="1:76" ht="12.9" customHeight="1">
      <c r="D57" s="404" t="s">
        <v>2171</v>
      </c>
      <c r="AB57" s="1949">
        <f>ROUND((10*AB56*AB50),0)</f>
        <v>10155688</v>
      </c>
      <c r="AC57" s="1263"/>
      <c r="AD57" s="1263"/>
      <c r="AE57" s="1263"/>
      <c r="AF57" s="1264"/>
    </row>
    <row r="58" spans="1:76" ht="12.9" customHeight="1">
      <c r="D58" s="404"/>
      <c r="AB58" s="423"/>
      <c r="AC58" s="423"/>
      <c r="AD58" s="423"/>
      <c r="AE58" s="423"/>
      <c r="AF58" s="423"/>
    </row>
    <row r="59" spans="1:76" ht="12.9" customHeight="1">
      <c r="D59" s="404" t="s">
        <v>2172</v>
      </c>
      <c r="AB59" s="1949">
        <f>AB49-AB57</f>
        <v>0</v>
      </c>
      <c r="AC59" s="1263"/>
      <c r="AD59" s="1263"/>
      <c r="AE59" s="1263"/>
      <c r="AF59" s="1264"/>
    </row>
    <row r="60" spans="1:76" ht="12.9" customHeight="1">
      <c r="D60" s="404"/>
      <c r="AB60" s="423"/>
      <c r="AC60" s="423"/>
      <c r="AD60" s="423"/>
      <c r="AE60" s="423"/>
      <c r="AF60" s="423"/>
    </row>
    <row r="61" spans="1:76" s="204" customFormat="1" ht="12.9" customHeight="1" thickBot="1">
      <c r="A61" s="1950" t="str">
        <f>IF(Application!AP205="yes","Farmworker State Credit", "State Credit" )</f>
        <v>State Credit</v>
      </c>
      <c r="B61" s="1305"/>
      <c r="C61" s="1305"/>
      <c r="D61" s="1305"/>
      <c r="E61" s="1305"/>
      <c r="F61" s="1305"/>
      <c r="G61" s="1305"/>
      <c r="H61" s="1305"/>
      <c r="I61" s="1305"/>
      <c r="J61" s="1305"/>
      <c r="K61" s="1305"/>
      <c r="L61" s="1305"/>
      <c r="M61" s="1305"/>
      <c r="N61" s="1305"/>
      <c r="O61" s="1305"/>
      <c r="P61" s="1305"/>
      <c r="Q61" s="1305"/>
      <c r="R61" s="1305"/>
      <c r="S61" s="1305"/>
      <c r="T61" s="1305"/>
      <c r="U61" s="1305"/>
      <c r="V61" s="1305"/>
      <c r="W61" s="1305"/>
      <c r="X61" s="1305"/>
      <c r="Y61" s="1305"/>
      <c r="Z61" s="1305"/>
      <c r="AA61" s="1305"/>
      <c r="AB61" s="1305"/>
      <c r="AC61" s="1305"/>
      <c r="AD61" s="1305"/>
      <c r="AE61" s="1305"/>
      <c r="AF61" s="1305"/>
      <c r="AG61" s="1305"/>
      <c r="AH61" s="1305"/>
      <c r="AI61" s="1305"/>
      <c r="AJ61" s="1305"/>
      <c r="AK61" s="1305"/>
      <c r="AL61" s="1305"/>
      <c r="AM61" s="1305"/>
      <c r="AN61" s="1305"/>
      <c r="AO61" s="1305"/>
      <c r="AP61" s="1305"/>
      <c r="AQ61" s="1305"/>
      <c r="AR61" s="1305"/>
      <c r="AS61" s="1305"/>
      <c r="AT61" s="1305"/>
      <c r="AU61" s="1305"/>
      <c r="AV61" s="1305"/>
      <c r="AW61" s="1305"/>
      <c r="AX61" s="1305"/>
      <c r="AY61" s="1305"/>
      <c r="AZ61" s="1305"/>
      <c r="BA61" s="1305"/>
      <c r="BB61" s="1305"/>
      <c r="BC61" s="1305"/>
      <c r="BD61" s="1305"/>
      <c r="BE61" s="1305"/>
      <c r="BF61" s="1305"/>
      <c r="BG61" s="1305"/>
      <c r="BH61" s="1305"/>
      <c r="BI61" s="1305"/>
      <c r="BJ61" s="1305"/>
      <c r="BK61" s="1305"/>
      <c r="BL61" s="1305"/>
      <c r="BM61" s="1305"/>
      <c r="BN61" s="1305"/>
      <c r="BO61" s="1305"/>
      <c r="BP61" s="1305"/>
      <c r="BQ61" s="1305"/>
      <c r="BR61" s="1305"/>
      <c r="BS61" s="1305"/>
      <c r="BT61" s="1305"/>
      <c r="BU61" s="1305"/>
      <c r="BV61" s="1305"/>
      <c r="BW61" s="1305"/>
      <c r="BX61" s="1305"/>
    </row>
    <row r="62" spans="1:76" s="204" customFormat="1" ht="12.9" customHeight="1" thickTop="1"/>
    <row r="63" spans="1:76" ht="12.9" customHeight="1">
      <c r="A63" s="404" t="s">
        <v>1123</v>
      </c>
      <c r="C63" s="205" t="s">
        <v>2173</v>
      </c>
      <c r="Y63" s="1954" t="s">
        <v>2174</v>
      </c>
      <c r="Z63" s="1405"/>
      <c r="AA63" s="1405"/>
      <c r="AB63" s="1405"/>
      <c r="AC63" s="1405"/>
      <c r="AD63" s="1954" t="s">
        <v>2160</v>
      </c>
      <c r="AE63" s="1405"/>
      <c r="AF63" s="1405"/>
      <c r="AG63" s="1405"/>
      <c r="AH63" s="1405"/>
    </row>
    <row r="64" spans="1:76" ht="12.9" customHeight="1">
      <c r="C64" s="404"/>
      <c r="D64" s="377" t="s">
        <v>2175</v>
      </c>
      <c r="E64" s="420"/>
      <c r="F64" s="420"/>
      <c r="G64" s="420"/>
      <c r="H64" s="420"/>
      <c r="I64" s="420"/>
      <c r="J64" s="420"/>
      <c r="K64" s="420"/>
      <c r="L64" s="420"/>
      <c r="M64" s="420"/>
      <c r="N64" s="420"/>
      <c r="O64" s="420"/>
      <c r="P64" s="420"/>
      <c r="Q64" s="420"/>
      <c r="R64" s="420"/>
      <c r="S64" s="420"/>
      <c r="T64" s="420"/>
      <c r="U64" s="420"/>
      <c r="V64" s="420"/>
      <c r="W64" s="420"/>
      <c r="X64" s="420"/>
      <c r="Y64" s="1940">
        <f>IF(Application!$Z$205="(select)",0,((T23*T27)+Y28))</f>
        <v>0</v>
      </c>
      <c r="Z64" s="1263"/>
      <c r="AA64" s="1263"/>
      <c r="AB64" s="1263"/>
      <c r="AC64" s="1264"/>
      <c r="AD64" s="1940">
        <f>IF(AND(OR(Application!D211="At-Risk",Application!D211="At-Risk and Special Needs"),Application!M367="yes"),AD28+AI28,0)</f>
        <v>0</v>
      </c>
      <c r="AE64" s="1263"/>
      <c r="AF64" s="1263"/>
      <c r="AG64" s="1263"/>
      <c r="AH64" s="1264"/>
    </row>
    <row r="65" spans="1:37" ht="12.9" customHeight="1">
      <c r="C65" s="404"/>
      <c r="E65" s="1012" t="s">
        <v>2176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5" customHeight="1">
      <c r="C66" s="404"/>
      <c r="E66" s="1012" t="s">
        <v>2177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 customHeight="1">
      <c r="C67" s="404"/>
      <c r="D67" s="404" t="s">
        <v>2178</v>
      </c>
      <c r="E67" s="421"/>
      <c r="F67" s="421"/>
      <c r="G67" s="421"/>
      <c r="H67" s="421"/>
      <c r="I67" s="421"/>
      <c r="J67" s="421"/>
      <c r="K67" s="421"/>
      <c r="L67" s="421"/>
      <c r="M67" s="421"/>
      <c r="N67" s="421"/>
      <c r="O67" s="421"/>
      <c r="P67" s="421"/>
      <c r="Q67" s="421"/>
      <c r="R67" s="421"/>
      <c r="S67" s="421"/>
      <c r="T67" s="421"/>
      <c r="U67" s="421"/>
      <c r="V67" s="421"/>
      <c r="W67" s="421"/>
      <c r="X67" s="421"/>
      <c r="Y67" s="1955">
        <f>IF(OR(Application!Z205="State Farmworker Credit",Application!Z205="$500M (Farmworker Housing)"),0.75,IF(Application!Z205="15% set-aside",0.13,IF(Application!Z205="15% set-aside with qualifying low value rehab",0.95,IF(Application!Z205="$500M",0.3,0))))</f>
        <v>0</v>
      </c>
      <c r="Z67" s="1417"/>
      <c r="AA67" s="1417"/>
      <c r="AB67" s="1417"/>
      <c r="AC67" s="1423"/>
      <c r="AD67" s="1955">
        <f>IF(Application!Z205="15% set-aside with qualifying low value rehab", 0.95,IF(OR(Application!D211="At-Risk",'Points System'!B26="Yes"),0.13,0))</f>
        <v>0</v>
      </c>
      <c r="AE67" s="1417"/>
      <c r="AF67" s="1417"/>
      <c r="AG67" s="1417"/>
      <c r="AH67" s="1423"/>
    </row>
    <row r="68" spans="1:37" ht="12.9" customHeight="1">
      <c r="C68" s="404"/>
      <c r="D68" s="205" t="s">
        <v>2179</v>
      </c>
      <c r="Y68" s="1940">
        <f>IF(AND(T25=1.3,OR(Y67=0.13,Y67=0.95),NOT(Application!T212&gt;=50%)),0,ROUND(Y64*Y67,0))</f>
        <v>0</v>
      </c>
      <c r="Z68" s="1263"/>
      <c r="AA68" s="1263"/>
      <c r="AB68" s="1263"/>
      <c r="AC68" s="1264"/>
      <c r="AD68" s="1940">
        <f>IF(AND(T25=1.3,AD67&gt;0,NOT(Application!T212&gt;=50%)),0,ROUND(AD64*AD67,0))</f>
        <v>0</v>
      </c>
      <c r="AE68" s="1263"/>
      <c r="AF68" s="1263"/>
      <c r="AG68" s="1263"/>
      <c r="AH68" s="1264"/>
      <c r="AK68" s="1187"/>
    </row>
    <row r="69" spans="1:37" ht="12.9" customHeight="1">
      <c r="C69" s="404"/>
      <c r="D69" s="205" t="s">
        <v>2180</v>
      </c>
      <c r="Y69" s="1940">
        <f>IF(OR(Application!Z205="State Farmworker Credit",Application!Z205="$500M (Farmworker Housing)"),Y68+AD68,MIN(Y68+AD68,200000*(Application!G761+Application!O785)))</f>
        <v>0</v>
      </c>
      <c r="Z69" s="1263"/>
      <c r="AA69" s="1263"/>
      <c r="AB69" s="1263"/>
      <c r="AC69" s="1263"/>
      <c r="AD69" s="1263"/>
      <c r="AE69" s="1263"/>
      <c r="AF69" s="1263"/>
      <c r="AG69" s="1263"/>
      <c r="AH69" s="1264"/>
    </row>
    <row r="70" spans="1:37" ht="12.9" customHeight="1">
      <c r="C70" s="404"/>
      <c r="E70" s="404"/>
      <c r="AB70" s="422"/>
      <c r="AC70" s="422"/>
      <c r="AD70" s="422"/>
      <c r="AE70" s="422"/>
      <c r="AF70" s="422"/>
    </row>
    <row r="71" spans="1:37" ht="12.9" customHeight="1">
      <c r="A71" s="404" t="s">
        <v>1135</v>
      </c>
      <c r="C71" s="205" t="s">
        <v>400</v>
      </c>
    </row>
    <row r="72" spans="1:37" ht="12.9" customHeight="1">
      <c r="A72" s="404"/>
      <c r="C72" s="404"/>
      <c r="D72" s="205" t="s">
        <v>848</v>
      </c>
      <c r="AB72" s="1933"/>
      <c r="AC72" s="1374"/>
      <c r="AD72" s="1374"/>
      <c r="AE72" s="1374"/>
      <c r="AF72" s="1375"/>
    </row>
    <row r="73" spans="1:37" ht="12.9" customHeight="1">
      <c r="A73" s="404"/>
      <c r="C73" s="404"/>
      <c r="D73" s="404"/>
      <c r="E73" s="1956" t="s">
        <v>2181</v>
      </c>
      <c r="F73" s="1312"/>
      <c r="G73" s="1312"/>
      <c r="H73" s="1312"/>
      <c r="I73" s="1312"/>
      <c r="J73" s="1312"/>
      <c r="K73" s="1312"/>
      <c r="L73" s="1312"/>
      <c r="M73" s="1312"/>
      <c r="N73" s="1312"/>
      <c r="O73" s="1312"/>
      <c r="P73" s="1312"/>
      <c r="Q73" s="1312"/>
      <c r="R73" s="1312"/>
      <c r="S73" s="1312"/>
      <c r="T73" s="1312"/>
      <c r="U73" s="1312"/>
      <c r="V73" s="1312"/>
      <c r="W73" s="1312"/>
      <c r="X73" s="1312"/>
      <c r="Y73" s="1312"/>
      <c r="Z73" s="1312"/>
      <c r="AA73" s="1312"/>
      <c r="AB73" s="438"/>
      <c r="AC73" s="438"/>
    </row>
    <row r="74" spans="1:37" ht="12.9" customHeight="1">
      <c r="A74" s="404"/>
      <c r="C74" s="404"/>
      <c r="D74" s="404"/>
      <c r="E74" s="1312"/>
      <c r="F74" s="1312"/>
      <c r="G74" s="1312"/>
      <c r="H74" s="1312"/>
      <c r="I74" s="1312"/>
      <c r="J74" s="1312"/>
      <c r="K74" s="1312"/>
      <c r="L74" s="1312"/>
      <c r="M74" s="1312"/>
      <c r="N74" s="1312"/>
      <c r="O74" s="1312"/>
      <c r="P74" s="1312"/>
      <c r="Q74" s="1312"/>
      <c r="R74" s="1312"/>
      <c r="S74" s="1312"/>
      <c r="T74" s="1312"/>
      <c r="U74" s="1312"/>
      <c r="V74" s="1312"/>
      <c r="W74" s="1312"/>
      <c r="X74" s="1312"/>
      <c r="Y74" s="1312"/>
      <c r="Z74" s="1312"/>
      <c r="AA74" s="1312"/>
      <c r="AB74" s="438"/>
      <c r="AC74" s="438"/>
    </row>
    <row r="75" spans="1:37" ht="12.9" customHeight="1">
      <c r="A75" s="404"/>
      <c r="C75" s="404"/>
      <c r="D75" s="404"/>
      <c r="E75" s="1312"/>
      <c r="F75" s="1312"/>
      <c r="G75" s="1312"/>
      <c r="H75" s="1312"/>
      <c r="I75" s="1312"/>
      <c r="J75" s="1312"/>
      <c r="K75" s="1312"/>
      <c r="L75" s="1312"/>
      <c r="M75" s="1312"/>
      <c r="N75" s="1312"/>
      <c r="O75" s="1312"/>
      <c r="P75" s="1312"/>
      <c r="Q75" s="1312"/>
      <c r="R75" s="1312"/>
      <c r="S75" s="1312"/>
      <c r="T75" s="1312"/>
      <c r="U75" s="1312"/>
      <c r="V75" s="1312"/>
      <c r="W75" s="1312"/>
      <c r="X75" s="1312"/>
      <c r="Y75" s="1312"/>
      <c r="Z75" s="1312"/>
      <c r="AA75" s="1312"/>
      <c r="AB75" s="438"/>
      <c r="AC75" s="438"/>
    </row>
    <row r="76" spans="1:37"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 customHeight="1">
      <c r="C77" s="404"/>
      <c r="D77" s="205" t="s">
        <v>2182</v>
      </c>
      <c r="AB77" s="1951">
        <f>ROUND(IF(ISERROR((AB59/AB72)),0,(AB59/AB72)),0)</f>
        <v>0</v>
      </c>
      <c r="AC77" s="1263"/>
      <c r="AD77" s="1263"/>
      <c r="AE77" s="1263"/>
      <c r="AF77" s="1264"/>
    </row>
    <row r="78" spans="1:37" ht="12.9" customHeight="1">
      <c r="C78" s="404"/>
      <c r="D78" s="205" t="s">
        <v>2183</v>
      </c>
      <c r="AB78" s="1951">
        <f>ROUNDUP(MIN(Y69,AB77),0)</f>
        <v>0</v>
      </c>
      <c r="AC78" s="1263"/>
      <c r="AD78" s="1263"/>
      <c r="AE78" s="1263"/>
      <c r="AF78" s="1264"/>
    </row>
    <row r="79" spans="1:37" ht="12.9" customHeight="1">
      <c r="C79" s="404"/>
      <c r="D79" s="205" t="s">
        <v>2184</v>
      </c>
      <c r="AB79" s="1953">
        <f>AB78*AB72</f>
        <v>0</v>
      </c>
      <c r="AC79" s="1263"/>
      <c r="AD79" s="1263"/>
      <c r="AE79" s="1263"/>
      <c r="AF79" s="1264"/>
    </row>
    <row r="80" spans="1:37" ht="12.9" customHeight="1">
      <c r="C80" s="404"/>
      <c r="D80" s="404"/>
      <c r="AB80" s="425"/>
      <c r="AC80" s="425"/>
      <c r="AD80" s="425"/>
      <c r="AE80" s="425"/>
      <c r="AF80" s="425"/>
    </row>
    <row r="81" spans="1:78" ht="12.9" customHeight="1">
      <c r="D81" s="404" t="s">
        <v>2172</v>
      </c>
      <c r="AB81" s="1949">
        <f>AB49-(AB57+AB79)</f>
        <v>0</v>
      </c>
      <c r="AC81" s="1263"/>
      <c r="AD81" s="1263"/>
      <c r="AE81" s="1263"/>
      <c r="AF81" s="1264"/>
    </row>
    <row r="82" spans="1:78" ht="12.9" customHeight="1">
      <c r="F82" s="522"/>
      <c r="J82" s="522" t="str">
        <f>IF(AB81&gt;0,"FUNDING GAP MUST NOT EXCEED ZERO","")</f>
        <v/>
      </c>
    </row>
    <row r="83" spans="1:78" ht="12.9" customHeight="1">
      <c r="D83" s="523"/>
    </row>
    <row r="84" spans="1:78" ht="12.9" customHeight="1" thickBot="1">
      <c r="A84" s="1950"/>
      <c r="B84" s="1305"/>
      <c r="C84" s="1305"/>
      <c r="D84" s="1305"/>
      <c r="E84" s="1305"/>
      <c r="F84" s="1305"/>
      <c r="G84" s="1305"/>
      <c r="H84" s="1305"/>
      <c r="I84" s="1305"/>
      <c r="J84" s="1305"/>
      <c r="K84" s="1305"/>
      <c r="L84" s="1305"/>
      <c r="M84" s="1305"/>
      <c r="N84" s="1305"/>
      <c r="O84" s="1305"/>
      <c r="P84" s="1305"/>
      <c r="Q84" s="1305"/>
      <c r="R84" s="1305"/>
      <c r="S84" s="1305"/>
      <c r="T84" s="1305"/>
      <c r="U84" s="1305"/>
      <c r="V84" s="1305"/>
      <c r="W84" s="1305"/>
      <c r="X84" s="1305"/>
      <c r="Y84" s="1305"/>
      <c r="Z84" s="1305"/>
      <c r="AA84" s="1305"/>
      <c r="AB84" s="1305"/>
      <c r="AC84" s="1305"/>
      <c r="AD84" s="1305"/>
      <c r="AE84" s="1305"/>
      <c r="AF84" s="1305"/>
      <c r="AG84" s="1305"/>
      <c r="AH84" s="1305"/>
      <c r="AI84" s="1305"/>
      <c r="AJ84" s="1305"/>
      <c r="AK84" s="1305"/>
      <c r="AL84" s="1305"/>
      <c r="AM84" s="1305"/>
      <c r="AN84" s="1305"/>
      <c r="AO84" s="1305"/>
      <c r="AP84" s="1305"/>
      <c r="AQ84" s="1305"/>
      <c r="AR84" s="1305"/>
      <c r="AS84" s="1305"/>
      <c r="AT84" s="1305"/>
      <c r="AU84" s="1305"/>
      <c r="AV84" s="1305"/>
      <c r="AW84" s="1305"/>
      <c r="AX84" s="1305"/>
      <c r="AY84" s="1305"/>
      <c r="AZ84" s="1305"/>
      <c r="BA84" s="1305"/>
      <c r="BB84" s="1305"/>
      <c r="BC84" s="1305"/>
      <c r="BD84" s="1305"/>
      <c r="BE84" s="1305"/>
      <c r="BF84" s="1305"/>
      <c r="BG84" s="1305"/>
      <c r="BH84" s="1305"/>
      <c r="BI84" s="1305"/>
      <c r="BJ84" s="1305"/>
      <c r="BK84" s="1305"/>
      <c r="BL84" s="1305"/>
      <c r="BM84" s="1305"/>
      <c r="BN84" s="1305"/>
      <c r="BO84" s="1305"/>
      <c r="BP84" s="1305"/>
      <c r="BQ84" s="1305"/>
      <c r="BR84" s="1305"/>
      <c r="BS84" s="1305"/>
      <c r="BT84" s="1305"/>
      <c r="BU84" s="1305"/>
      <c r="BV84" s="1305"/>
      <c r="BW84" s="1305"/>
      <c r="BX84" s="1305"/>
    </row>
    <row r="85" spans="1:78" ht="12.9" customHeight="1" thickTop="1"/>
    <row r="86" spans="1:78" ht="12.9" hidden="1" customHeight="1">
      <c r="A86" s="404"/>
      <c r="C86" s="205"/>
    </row>
    <row r="87" spans="1:78" ht="12.9" hidden="1" customHeight="1">
      <c r="D87" s="205"/>
      <c r="AB87" s="1952"/>
      <c r="AC87" s="1312"/>
      <c r="AD87" s="1312"/>
      <c r="AE87" s="1312"/>
      <c r="AF87" s="1312"/>
    </row>
    <row r="88" spans="1:78" ht="12.9" hidden="1" customHeight="1" thickBot="1">
      <c r="D88" s="205"/>
      <c r="AB88" s="1947"/>
      <c r="AC88" s="1312"/>
      <c r="AD88" s="1312"/>
      <c r="AE88" s="1312"/>
      <c r="AF88" s="1312"/>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hidden="1" customHeight="1" thickTop="1"/>
  </sheetData>
  <sheetProtection algorithmName="SHA-512" hashValue="CpsbqRXZl5N+6oGi7fgUPgF2tBa3Fz06Y22A3tVuuwzhXP4HK3ISTaG48jw/8fQAV2YidBMJiwQ/uOcn/iKm5g==" saltValue="Md+l+91cG/xcdbDKpPndcw==" spinCount="100000" sheet="1" objects="1" scenarios="1"/>
  <mergeCells count="139">
    <mergeCell ref="AI18:AM18"/>
    <mergeCell ref="AD26:AH26"/>
    <mergeCell ref="AB57:AF57"/>
    <mergeCell ref="AI27:AM27"/>
    <mergeCell ref="AD15:AH15"/>
    <mergeCell ref="Y19:AC19"/>
    <mergeCell ref="AD40:AH40"/>
    <mergeCell ref="Y35:AC37"/>
    <mergeCell ref="Y17:AC17"/>
    <mergeCell ref="Y15:AC15"/>
    <mergeCell ref="Y16:AC16"/>
    <mergeCell ref="AI16:AM16"/>
    <mergeCell ref="AB56:AF56"/>
    <mergeCell ref="AI20:AM20"/>
    <mergeCell ref="AB48:AF48"/>
    <mergeCell ref="Y25:AC25"/>
    <mergeCell ref="AD20:AH20"/>
    <mergeCell ref="T26:X26"/>
    <mergeCell ref="A44:BX44"/>
    <mergeCell ref="T23:X23"/>
    <mergeCell ref="AI22:AM22"/>
    <mergeCell ref="Y38:AC38"/>
    <mergeCell ref="T29:AM29"/>
    <mergeCell ref="AI26:AM26"/>
    <mergeCell ref="AI25:AM25"/>
    <mergeCell ref="B38:X38"/>
    <mergeCell ref="Y27:AC27"/>
    <mergeCell ref="AD39:AH39"/>
    <mergeCell ref="T28:X28"/>
    <mergeCell ref="B27:S27"/>
    <mergeCell ref="B23:S23"/>
    <mergeCell ref="B26:S26"/>
    <mergeCell ref="AI12:AM12"/>
    <mergeCell ref="AI21:AM21"/>
    <mergeCell ref="T27:X27"/>
    <mergeCell ref="B30:AM30"/>
    <mergeCell ref="C19:S19"/>
    <mergeCell ref="AI7:AM10"/>
    <mergeCell ref="T24:AM24"/>
    <mergeCell ref="AD23:AH23"/>
    <mergeCell ref="E51:Z52"/>
    <mergeCell ref="AD13:AH13"/>
    <mergeCell ref="B28:S28"/>
    <mergeCell ref="AI13:AM13"/>
    <mergeCell ref="C14:S14"/>
    <mergeCell ref="T25:X25"/>
    <mergeCell ref="Y21:AC21"/>
    <mergeCell ref="AD35:AH37"/>
    <mergeCell ref="AB47:AF47"/>
    <mergeCell ref="AD25:AH25"/>
    <mergeCell ref="B39:X39"/>
    <mergeCell ref="T17:X17"/>
    <mergeCell ref="Y12:AC12"/>
    <mergeCell ref="T19:X19"/>
    <mergeCell ref="Y23:AC23"/>
    <mergeCell ref="C13:S13"/>
    <mergeCell ref="AD14:AH14"/>
    <mergeCell ref="T13:X13"/>
    <mergeCell ref="C17:S17"/>
    <mergeCell ref="T16:X16"/>
    <mergeCell ref="AB79:AF79"/>
    <mergeCell ref="Y63:AC63"/>
    <mergeCell ref="AB55:AF55"/>
    <mergeCell ref="AD38:AH38"/>
    <mergeCell ref="Y68:AC68"/>
    <mergeCell ref="B41:X41"/>
    <mergeCell ref="AD64:AH64"/>
    <mergeCell ref="AB54:AF54"/>
    <mergeCell ref="AD63:AH63"/>
    <mergeCell ref="Y67:AC67"/>
    <mergeCell ref="E73:AA75"/>
    <mergeCell ref="B20:S20"/>
    <mergeCell ref="AD68:AH68"/>
    <mergeCell ref="AD67:AH67"/>
    <mergeCell ref="Y64:AC64"/>
    <mergeCell ref="AB59:AF59"/>
    <mergeCell ref="Y18:AC18"/>
    <mergeCell ref="T22:X22"/>
    <mergeCell ref="AD22:AH22"/>
    <mergeCell ref="B25:S25"/>
    <mergeCell ref="AB88:AF88"/>
    <mergeCell ref="Y41:AH41"/>
    <mergeCell ref="Y39:AC39"/>
    <mergeCell ref="B29:S29"/>
    <mergeCell ref="AB72:AF72"/>
    <mergeCell ref="Y20:AC20"/>
    <mergeCell ref="AB81:AF81"/>
    <mergeCell ref="Y14:AC14"/>
    <mergeCell ref="C16:S16"/>
    <mergeCell ref="Y69:AH69"/>
    <mergeCell ref="A84:BX84"/>
    <mergeCell ref="A61:BX61"/>
    <mergeCell ref="AI14:AM14"/>
    <mergeCell ref="T18:X18"/>
    <mergeCell ref="AD18:AH18"/>
    <mergeCell ref="AI23:AM23"/>
    <mergeCell ref="AD17:AH17"/>
    <mergeCell ref="B40:X40"/>
    <mergeCell ref="AB78:AF78"/>
    <mergeCell ref="AB87:AF87"/>
    <mergeCell ref="AD16:AH16"/>
    <mergeCell ref="B22:S22"/>
    <mergeCell ref="AB49:AF49"/>
    <mergeCell ref="AB77:AF77"/>
    <mergeCell ref="T11:X11"/>
    <mergeCell ref="B11:S11"/>
    <mergeCell ref="T20:X20"/>
    <mergeCell ref="T14:X14"/>
    <mergeCell ref="C15:S15"/>
    <mergeCell ref="T12:X12"/>
    <mergeCell ref="B12:S12"/>
    <mergeCell ref="B21:S21"/>
    <mergeCell ref="C18:S18"/>
    <mergeCell ref="T15:X15"/>
    <mergeCell ref="T21:X21"/>
    <mergeCell ref="AD11:AH11"/>
    <mergeCell ref="Y13:AC13"/>
    <mergeCell ref="AD12:AH12"/>
    <mergeCell ref="AD21:AH21"/>
    <mergeCell ref="A1:AN2"/>
    <mergeCell ref="AB50:AF50"/>
    <mergeCell ref="B31:AM31"/>
    <mergeCell ref="T7:X10"/>
    <mergeCell ref="Y11:AC11"/>
    <mergeCell ref="AD19:AH19"/>
    <mergeCell ref="AI15:AM15"/>
    <mergeCell ref="AD28:AH28"/>
    <mergeCell ref="AD27:AH27"/>
    <mergeCell ref="Y26:AC26"/>
    <mergeCell ref="Y40:AC40"/>
    <mergeCell ref="AI17:AM17"/>
    <mergeCell ref="Y7:AC10"/>
    <mergeCell ref="AI19:AM19"/>
    <mergeCell ref="AI28:AM28"/>
    <mergeCell ref="AD7:AH10"/>
    <mergeCell ref="AI11:AM11"/>
    <mergeCell ref="Y22:AC22"/>
    <mergeCell ref="B24:S24"/>
    <mergeCell ref="Y28:AC28"/>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AB65611:AF65611 AB131147:AF131147 AB196683:AF196683 AB262219:AF262219 AB327755:AF327755 AB393291:AF393291 AB458827:AF458827 AB524363:AF524363 AB589899:AF589899 AB655435:AF655435 AB720971:AF720971 AB786507:AF786507 AB852043:AF852043 AB917579:AF917579 AB983115:AF983115 JX72:KB72 JX65611:KB65611 JX131147:KB131147 JX196683:KB196683 JX262219:KB262219 JX327755:KB327755 JX393291:KB393291 JX458827:KB458827 JX524363:KB524363 JX589899:KB589899 JX655435:KB655435 JX720971:KB720971 JX786507:KB786507 JX852043:KB852043 JX917579:KB917579 JX983115:KB983115 TT72:TX72 TT65611:TX65611 TT131147:TX131147 TT196683:TX196683 TT262219:TX262219 TT327755:TX327755 TT393291:TX393291 TT458827:TX458827 TT524363:TX524363 TT589899:TX589899 TT655435:TX655435 TT720971:TX720971 TT786507:TX786507 TT852043:TX852043 TT917579:TX917579 TT983115:TX983115 ADP72:ADT72 ADP65611:ADT65611 ADP131147:ADT131147 ADP196683:ADT196683 ADP262219:ADT262219 ADP327755:ADT327755 ADP393291:ADT393291 ADP458827:ADT458827 ADP524363:ADT524363 ADP589899:ADT589899 ADP655435:ADT655435 ADP720971:ADT720971 ADP786507:ADT786507 ADP852043:ADT852043 ADP917579:ADT917579 ADP983115:ADT983115 ANL72:ANP72 ANL65611:ANP65611 ANL131147:ANP131147 ANL196683:ANP196683 ANL262219:ANP262219 ANL327755:ANP327755 ANL393291:ANP393291 ANL458827:ANP458827 ANL524363:ANP524363 ANL589899:ANP589899 ANL655435:ANP655435 ANL720971:ANP720971 ANL786507:ANP786507 ANL852043:ANP852043 ANL917579:ANP917579 ANL983115:ANP983115 AXH72:AXL72 AXH65611:AXL65611 AXH131147:AXL131147 AXH196683:AXL196683 AXH262219:AXL262219 AXH327755:AXL327755 AXH393291:AXL393291 AXH458827:AXL458827 AXH524363:AXL524363 AXH589899:AXL589899 AXH655435:AXL655435 AXH720971:AXL720971 AXH786507:AXL786507 AXH852043:AXL852043 AXH917579:AXL917579 AXH983115:AXL983115 BHD72:BHH72 BHD65611:BHH65611 BHD131147:BHH131147 BHD196683:BHH196683 BHD262219:BHH262219 BHD327755:BHH327755 BHD393291:BHH393291 BHD458827:BHH458827 BHD524363:BHH524363 BHD589899:BHH589899 BHD655435:BHH655435 BHD720971:BHH720971 BHD786507:BHH786507 BHD852043:BHH852043 BHD917579:BHH917579 BHD983115:BHH983115 BQZ72:BRD72 BQZ65611:BRD65611 BQZ131147:BRD131147 BQZ196683:BRD196683 BQZ262219:BRD262219 BQZ327755:BRD327755 BQZ393291:BRD393291 BQZ458827:BRD458827 BQZ524363:BRD524363 BQZ589899:BRD589899 BQZ655435:BRD655435 BQZ720971:BRD720971 BQZ786507:BRD786507 BQZ852043:BRD852043 BQZ917579:BRD917579 BQZ983115:BRD983115 CAV72:CAZ72 CAV65611:CAZ65611 CAV131147:CAZ131147 CAV196683:CAZ196683 CAV262219:CAZ262219 CAV327755:CAZ327755 CAV393291:CAZ393291 CAV458827:CAZ458827 CAV524363:CAZ524363 CAV589899:CAZ589899 CAV655435:CAZ655435 CAV720971:CAZ720971 CAV786507:CAZ786507 CAV852043:CAZ852043 CAV917579:CAZ917579 CAV983115:CAZ983115 CKR72:CKV72 CKR65611:CKV65611 CKR131147:CKV131147 CKR196683:CKV196683 CKR262219:CKV262219 CKR327755:CKV327755 CKR393291:CKV393291 CKR458827:CKV458827 CKR524363:CKV524363 CKR589899:CKV589899 CKR655435:CKV655435 CKR720971:CKV720971 CKR786507:CKV786507 CKR852043:CKV852043 CKR917579:CKV917579 CKR983115:CKV983115 CUN72:CUR72 CUN65611:CUR65611 CUN131147:CUR131147 CUN196683:CUR196683 CUN262219:CUR262219 CUN327755:CUR327755 CUN393291:CUR393291 CUN458827:CUR458827 CUN524363:CUR524363 CUN589899:CUR589899 CUN655435:CUR655435 CUN720971:CUR720971 CUN786507:CUR786507 CUN852043:CUR852043 CUN917579:CUR917579 CUN983115:CUR983115 DEJ72:DEN72 DEJ65611:DEN65611 DEJ131147:DEN131147 DEJ196683:DEN196683 DEJ262219:DEN262219 DEJ327755:DEN327755 DEJ393291:DEN393291 DEJ458827:DEN458827 DEJ524363:DEN524363 DEJ589899:DEN589899 DEJ655435:DEN655435 DEJ720971:DEN720971 DEJ786507:DEN786507 DEJ852043:DEN852043 DEJ917579:DEN917579 DEJ983115:DEN983115 DOF72:DOJ72 DOF65611:DOJ65611 DOF131147:DOJ131147 DOF196683:DOJ196683 DOF262219:DOJ262219 DOF327755:DOJ327755 DOF393291:DOJ393291 DOF458827:DOJ458827 DOF524363:DOJ524363 DOF589899:DOJ589899 DOF655435:DOJ655435 DOF720971:DOJ720971 DOF786507:DOJ786507 DOF852043:DOJ852043 DOF917579:DOJ917579 DOF983115:DOJ983115 DYB72:DYF72 DYB65611:DYF65611 DYB131147:DYF131147 DYB196683:DYF196683 DYB262219:DYF262219 DYB327755:DYF327755 DYB393291:DYF393291 DYB458827:DYF458827 DYB524363:DYF524363 DYB589899:DYF589899 DYB655435:DYF655435 DYB720971:DYF720971 DYB786507:DYF786507 DYB852043:DYF852043 DYB917579:DYF917579 DYB983115:DYF983115 EHX72:EIB72 EHX65611:EIB65611 EHX131147:EIB131147 EHX196683:EIB196683 EHX262219:EIB262219 EHX327755:EIB327755 EHX393291:EIB393291 EHX458827:EIB458827 EHX524363:EIB524363 EHX589899:EIB589899 EHX655435:EIB655435 EHX720971:EIB720971 EHX786507:EIB786507 EHX852043:EIB852043 EHX917579:EIB917579 EHX983115:EIB983115 ERT72:ERX72 ERT65611:ERX65611 ERT131147:ERX131147 ERT196683:ERX196683 ERT262219:ERX262219 ERT327755:ERX327755 ERT393291:ERX393291 ERT458827:ERX458827 ERT524363:ERX524363 ERT589899:ERX589899 ERT655435:ERX655435 ERT720971:ERX720971 ERT786507:ERX786507 ERT852043:ERX852043 ERT917579:ERX917579 ERT983115:ERX983115 FBP72:FBT72 FBP65611:FBT65611 FBP131147:FBT131147 FBP196683:FBT196683 FBP262219:FBT262219 FBP327755:FBT327755 FBP393291:FBT393291 FBP458827:FBT458827 FBP524363:FBT524363 FBP589899:FBT589899 FBP655435:FBT655435 FBP720971:FBT720971 FBP786507:FBT786507 FBP852043:FBT852043 FBP917579:FBT917579 FBP983115:FBT983115 FLL72:FLP72 FLL65611:FLP65611 FLL131147:FLP131147 FLL196683:FLP196683 FLL262219:FLP262219 FLL327755:FLP327755 FLL393291:FLP393291 FLL458827:FLP458827 FLL524363:FLP524363 FLL589899:FLP589899 FLL655435:FLP655435 FLL720971:FLP720971 FLL786507:FLP786507 FLL852043:FLP852043 FLL917579:FLP917579 FLL983115:FLP983115 FVH72:FVL72 FVH65611:FVL65611 FVH131147:FVL131147 FVH196683:FVL196683 FVH262219:FVL262219 FVH327755:FVL327755 FVH393291:FVL393291 FVH458827:FVL458827 FVH524363:FVL524363 FVH589899:FVL589899 FVH655435:FVL655435 FVH720971:FVL720971 FVH786507:FVL786507 FVH852043:FVL852043 FVH917579:FVL917579 FVH983115:FVL983115 GFD72:GFH72 GFD65611:GFH65611 GFD131147:GFH131147 GFD196683:GFH196683 GFD262219:GFH262219 GFD327755:GFH327755 GFD393291:GFH393291 GFD458827:GFH458827 GFD524363:GFH524363 GFD589899:GFH589899 GFD655435:GFH655435 GFD720971:GFH720971 GFD786507:GFH786507 GFD852043:GFH852043 GFD917579:GFH917579 GFD983115:GFH983115 GOZ72:GPD72 GOZ65611:GPD65611 GOZ131147:GPD131147 GOZ196683:GPD196683 GOZ262219:GPD262219 GOZ327755:GPD327755 GOZ393291:GPD393291 GOZ458827:GPD458827 GOZ524363:GPD524363 GOZ589899:GPD589899 GOZ655435:GPD655435 GOZ720971:GPD720971 GOZ786507:GPD786507 GOZ852043:GPD852043 GOZ917579:GPD917579 GOZ983115:GPD983115 GYV72:GYZ72 GYV65611:GYZ65611 GYV131147:GYZ131147 GYV196683:GYZ196683 GYV262219:GYZ262219 GYV327755:GYZ327755 GYV393291:GYZ393291 GYV458827:GYZ458827 GYV524363:GYZ524363 GYV589899:GYZ589899 GYV655435:GYZ655435 GYV720971:GYZ720971 GYV786507:GYZ786507 GYV852043:GYZ852043 GYV917579:GYZ917579 GYV983115:GYZ983115 HIR72:HIV72 HIR65611:HIV65611 HIR131147:HIV131147 HIR196683:HIV196683 HIR262219:HIV262219 HIR327755:HIV327755 HIR393291:HIV393291 HIR458827:HIV458827 HIR524363:HIV524363 HIR589899:HIV589899 HIR655435:HIV655435 HIR720971:HIV720971 HIR786507:HIV786507 HIR852043:HIV852043 HIR917579:HIV917579 HIR983115:HIV983115 HSN72:HSR72 HSN65611:HSR65611 HSN131147:HSR131147 HSN196683:HSR196683 HSN262219:HSR262219 HSN327755:HSR327755 HSN393291:HSR393291 HSN458827:HSR458827 HSN524363:HSR524363 HSN589899:HSR589899 HSN655435:HSR655435 HSN720971:HSR720971 HSN786507:HSR786507 HSN852043:HSR852043 HSN917579:HSR917579 HSN983115:HSR983115 ICJ72:ICN72 ICJ65611:ICN65611 ICJ131147:ICN131147 ICJ196683:ICN196683 ICJ262219:ICN262219 ICJ327755:ICN327755 ICJ393291:ICN393291 ICJ458827:ICN458827 ICJ524363:ICN524363 ICJ589899:ICN589899 ICJ655435:ICN655435 ICJ720971:ICN720971 ICJ786507:ICN786507 ICJ852043:ICN852043 ICJ917579:ICN917579 ICJ983115:ICN983115 IMF72:IMJ72 IMF65611:IMJ65611 IMF131147:IMJ131147 IMF196683:IMJ196683 IMF262219:IMJ262219 IMF327755:IMJ327755 IMF393291:IMJ393291 IMF458827:IMJ458827 IMF524363:IMJ524363 IMF589899:IMJ589899 IMF655435:IMJ655435 IMF720971:IMJ720971 IMF786507:IMJ786507 IMF852043:IMJ852043 IMF917579:IMJ917579 IMF983115:IMJ983115 IWB72:IWF72 IWB65611:IWF65611 IWB131147:IWF131147 IWB196683:IWF196683 IWB262219:IWF262219 IWB327755:IWF327755 IWB393291:IWF393291 IWB458827:IWF458827 IWB524363:IWF524363 IWB589899:IWF589899 IWB655435:IWF655435 IWB720971:IWF720971 IWB786507:IWF786507 IWB852043:IWF852043 IWB917579:IWF917579 IWB983115:IWF983115 JFX72:JGB72 JFX65611:JGB65611 JFX131147:JGB131147 JFX196683:JGB196683 JFX262219:JGB262219 JFX327755:JGB327755 JFX393291:JGB393291 JFX458827:JGB458827 JFX524363:JGB524363 JFX589899:JGB589899 JFX655435:JGB655435 JFX720971:JGB720971 JFX786507:JGB786507 JFX852043:JGB852043 JFX917579:JGB917579 JFX983115:JGB983115 JPT72:JPX72 JPT65611:JPX65611 JPT131147:JPX131147 JPT196683:JPX196683 JPT262219:JPX262219 JPT327755:JPX327755 JPT393291:JPX393291 JPT458827:JPX458827 JPT524363:JPX524363 JPT589899:JPX589899 JPT655435:JPX655435 JPT720971:JPX720971 JPT786507:JPX786507 JPT852043:JPX852043 JPT917579:JPX917579 JPT983115:JPX983115 JZP72:JZT72 JZP65611:JZT65611 JZP131147:JZT131147 JZP196683:JZT196683 JZP262219:JZT262219 JZP327755:JZT327755 JZP393291:JZT393291 JZP458827:JZT458827 JZP524363:JZT524363 JZP589899:JZT589899 JZP655435:JZT655435 JZP720971:JZT720971 JZP786507:JZT786507 JZP852043:JZT852043 JZP917579:JZT917579 JZP983115:JZT983115 KJL72:KJP72 KJL65611:KJP65611 KJL131147:KJP131147 KJL196683:KJP196683 KJL262219:KJP262219 KJL327755:KJP327755 KJL393291:KJP393291 KJL458827:KJP458827 KJL524363:KJP524363 KJL589899:KJP589899 KJL655435:KJP655435 KJL720971:KJP720971 KJL786507:KJP786507 KJL852043:KJP852043 KJL917579:KJP917579 KJL983115:KJP983115 KTH72:KTL72 KTH65611:KTL65611 KTH131147:KTL131147 KTH196683:KTL196683 KTH262219:KTL262219 KTH327755:KTL327755 KTH393291:KTL393291 KTH458827:KTL458827 KTH524363:KTL524363 KTH589899:KTL589899 KTH655435:KTL655435 KTH720971:KTL720971 KTH786507:KTL786507 KTH852043:KTL852043 KTH917579:KTL917579 KTH983115:KTL983115 LDD72:LDH72 LDD65611:LDH65611 LDD131147:LDH131147 LDD196683:LDH196683 LDD262219:LDH262219 LDD327755:LDH327755 LDD393291:LDH393291 LDD458827:LDH458827 LDD524363:LDH524363 LDD589899:LDH589899 LDD655435:LDH655435 LDD720971:LDH720971 LDD786507:LDH786507 LDD852043:LDH852043 LDD917579:LDH917579 LDD983115:LDH983115 LMZ72:LND72 LMZ65611:LND65611 LMZ131147:LND131147 LMZ196683:LND196683 LMZ262219:LND262219 LMZ327755:LND327755 LMZ393291:LND393291 LMZ458827:LND458827 LMZ524363:LND524363 LMZ589899:LND589899 LMZ655435:LND655435 LMZ720971:LND720971 LMZ786507:LND786507 LMZ852043:LND852043 LMZ917579:LND917579 LMZ983115:LND983115 LWV72:LWZ72 LWV65611:LWZ65611 LWV131147:LWZ131147 LWV196683:LWZ196683 LWV262219:LWZ262219 LWV327755:LWZ327755 LWV393291:LWZ393291 LWV458827:LWZ458827 LWV524363:LWZ524363 LWV589899:LWZ589899 LWV655435:LWZ655435 LWV720971:LWZ720971 LWV786507:LWZ786507 LWV852043:LWZ852043 LWV917579:LWZ917579 LWV983115:LWZ983115 MGR72:MGV72 MGR65611:MGV65611 MGR131147:MGV131147 MGR196683:MGV196683 MGR262219:MGV262219 MGR327755:MGV327755 MGR393291:MGV393291 MGR458827:MGV458827 MGR524363:MGV524363 MGR589899:MGV589899 MGR655435:MGV655435 MGR720971:MGV720971 MGR786507:MGV786507 MGR852043:MGV852043 MGR917579:MGV917579 MGR983115:MGV983115 MQN72:MQR72 MQN65611:MQR65611 MQN131147:MQR131147 MQN196683:MQR196683 MQN262219:MQR262219 MQN327755:MQR327755 MQN393291:MQR393291 MQN458827:MQR458827 MQN524363:MQR524363 MQN589899:MQR589899 MQN655435:MQR655435 MQN720971:MQR720971 MQN786507:MQR786507 MQN852043:MQR852043 MQN917579:MQR917579 MQN983115:MQR983115 NAJ72:NAN72 NAJ65611:NAN65611 NAJ131147:NAN131147 NAJ196683:NAN196683 NAJ262219:NAN262219 NAJ327755:NAN327755 NAJ393291:NAN393291 NAJ458827:NAN458827 NAJ524363:NAN524363 NAJ589899:NAN589899 NAJ655435:NAN655435 NAJ720971:NAN720971 NAJ786507:NAN786507 NAJ852043:NAN852043 NAJ917579:NAN917579 NAJ983115:NAN983115 NKF72:NKJ72 NKF65611:NKJ65611 NKF131147:NKJ131147 NKF196683:NKJ196683 NKF262219:NKJ262219 NKF327755:NKJ327755 NKF393291:NKJ393291 NKF458827:NKJ458827 NKF524363:NKJ524363 NKF589899:NKJ589899 NKF655435:NKJ655435 NKF720971:NKJ720971 NKF786507:NKJ786507 NKF852043:NKJ852043 NKF917579:NKJ917579 NKF983115:NKJ983115 NUB72:NUF72 NUB65611:NUF65611 NUB131147:NUF131147 NUB196683:NUF196683 NUB262219:NUF262219 NUB327755:NUF327755 NUB393291:NUF393291 NUB458827:NUF458827 NUB524363:NUF524363 NUB589899:NUF589899 NUB655435:NUF655435 NUB720971:NUF720971 NUB786507:NUF786507 NUB852043:NUF852043 NUB917579:NUF917579 NUB983115:NUF983115 ODX72:OEB72 ODX65611:OEB65611 ODX131147:OEB131147 ODX196683:OEB196683 ODX262219:OEB262219 ODX327755:OEB327755 ODX393291:OEB393291 ODX458827:OEB458827 ODX524363:OEB524363 ODX589899:OEB589899 ODX655435:OEB655435 ODX720971:OEB720971 ODX786507:OEB786507 ODX852043:OEB852043 ODX917579:OEB917579 ODX983115:OEB983115 ONT72:ONX72 ONT65611:ONX65611 ONT131147:ONX131147 ONT196683:ONX196683 ONT262219:ONX262219 ONT327755:ONX327755 ONT393291:ONX393291 ONT458827:ONX458827 ONT524363:ONX524363 ONT589899:ONX589899 ONT655435:ONX655435 ONT720971:ONX720971 ONT786507:ONX786507 ONT852043:ONX852043 ONT917579:ONX917579 ONT983115:ONX983115 OXP72:OXT72 OXP65611:OXT65611 OXP131147:OXT131147 OXP196683:OXT196683 OXP262219:OXT262219 OXP327755:OXT327755 OXP393291:OXT393291 OXP458827:OXT458827 OXP524363:OXT524363 OXP589899:OXT589899 OXP655435:OXT655435 OXP720971:OXT720971 OXP786507:OXT786507 OXP852043:OXT852043 OXP917579:OXT917579 OXP983115:OXT983115 PHL72:PHP72 PHL65611:PHP65611 PHL131147:PHP131147 PHL196683:PHP196683 PHL262219:PHP262219 PHL327755:PHP327755 PHL393291:PHP393291 PHL458827:PHP458827 PHL524363:PHP524363 PHL589899:PHP589899 PHL655435:PHP655435 PHL720971:PHP720971 PHL786507:PHP786507 PHL852043:PHP852043 PHL917579:PHP917579 PHL983115:PHP983115 PRH72:PRL72 PRH65611:PRL65611 PRH131147:PRL131147 PRH196683:PRL196683 PRH262219:PRL262219 PRH327755:PRL327755 PRH393291:PRL393291 PRH458827:PRL458827 PRH524363:PRL524363 PRH589899:PRL589899 PRH655435:PRL655435 PRH720971:PRL720971 PRH786507:PRL786507 PRH852043:PRL852043 PRH917579:PRL917579 PRH983115:PRL983115 QBD72:QBH72 QBD65611:QBH65611 QBD131147:QBH131147 QBD196683:QBH196683 QBD262219:QBH262219 QBD327755:QBH327755 QBD393291:QBH393291 QBD458827:QBH458827 QBD524363:QBH524363 QBD589899:QBH589899 QBD655435:QBH655435 QBD720971:QBH720971 QBD786507:QBH786507 QBD852043:QBH852043 QBD917579:QBH917579 QBD983115:QBH983115 QKZ72:QLD72 QKZ65611:QLD65611 QKZ131147:QLD131147 QKZ196683:QLD196683 QKZ262219:QLD262219 QKZ327755:QLD327755 QKZ393291:QLD393291 QKZ458827:QLD458827 QKZ524363:QLD524363 QKZ589899:QLD589899 QKZ655435:QLD655435 QKZ720971:QLD720971 QKZ786507:QLD786507 QKZ852043:QLD852043 QKZ917579:QLD917579 QKZ983115:QLD983115 QUV72:QUZ72 QUV65611:QUZ65611 QUV131147:QUZ131147 QUV196683:QUZ196683 QUV262219:QUZ262219 QUV327755:QUZ327755 QUV393291:QUZ393291 QUV458827:QUZ458827 QUV524363:QUZ524363 QUV589899:QUZ589899 QUV655435:QUZ655435 QUV720971:QUZ720971 QUV786507:QUZ786507 QUV852043:QUZ852043 QUV917579:QUZ917579 QUV983115:QUZ983115 RER72:REV72 RER65611:REV65611 RER131147:REV131147 RER196683:REV196683 RER262219:REV262219 RER327755:REV327755 RER393291:REV393291 RER458827:REV458827 RER524363:REV524363 RER589899:REV589899 RER655435:REV655435 RER720971:REV720971 RER786507:REV786507 RER852043:REV852043 RER917579:REV917579 RER983115:REV983115 RON72:ROR72 RON65611:ROR65611 RON131147:ROR131147 RON196683:ROR196683 RON262219:ROR262219 RON327755:ROR327755 RON393291:ROR393291 RON458827:ROR458827 RON524363:ROR524363 RON589899:ROR589899 RON655435:ROR655435 RON720971:ROR720971 RON786507:ROR786507 RON852043:ROR852043 RON917579:ROR917579 RON983115:ROR983115 RYJ72:RYN72 RYJ65611:RYN65611 RYJ131147:RYN131147 RYJ196683:RYN196683 RYJ262219:RYN262219 RYJ327755:RYN327755 RYJ393291:RYN393291 RYJ458827:RYN458827 RYJ524363:RYN524363 RYJ589899:RYN589899 RYJ655435:RYN655435 RYJ720971:RYN720971 RYJ786507:RYN786507 RYJ852043:RYN852043 RYJ917579:RYN917579 RYJ983115:RYN983115 SIF72:SIJ72 SIF65611:SIJ65611 SIF131147:SIJ131147 SIF196683:SIJ196683 SIF262219:SIJ262219 SIF327755:SIJ327755 SIF393291:SIJ393291 SIF458827:SIJ458827 SIF524363:SIJ524363 SIF589899:SIJ589899 SIF655435:SIJ655435 SIF720971:SIJ720971 SIF786507:SIJ786507 SIF852043:SIJ852043 SIF917579:SIJ917579 SIF983115:SIJ983115 SSB72:SSF72 SSB65611:SSF65611 SSB131147:SSF131147 SSB196683:SSF196683 SSB262219:SSF262219 SSB327755:SSF327755 SSB393291:SSF393291 SSB458827:SSF458827 SSB524363:SSF524363 SSB589899:SSF589899 SSB655435:SSF655435 SSB720971:SSF720971 SSB786507:SSF786507 SSB852043:SSF852043 SSB917579:SSF917579 SSB983115:SSF983115 TBX72:TCB72 TBX65611:TCB65611 TBX131147:TCB131147 TBX196683:TCB196683 TBX262219:TCB262219 TBX327755:TCB327755 TBX393291:TCB393291 TBX458827:TCB458827 TBX524363:TCB524363 TBX589899:TCB589899 TBX655435:TCB655435 TBX720971:TCB720971 TBX786507:TCB786507 TBX852043:TCB852043 TBX917579:TCB917579 TBX983115:TCB983115 TLT72:TLX72 TLT65611:TLX65611 TLT131147:TLX131147 TLT196683:TLX196683 TLT262219:TLX262219 TLT327755:TLX327755 TLT393291:TLX393291 TLT458827:TLX458827 TLT524363:TLX524363 TLT589899:TLX589899 TLT655435:TLX655435 TLT720971:TLX720971 TLT786507:TLX786507 TLT852043:TLX852043 TLT917579:TLX917579 TLT983115:TLX983115 TVP72:TVT72 TVP65611:TVT65611 TVP131147:TVT131147 TVP196683:TVT196683 TVP262219:TVT262219 TVP327755:TVT327755 TVP393291:TVT393291 TVP458827:TVT458827 TVP524363:TVT524363 TVP589899:TVT589899 TVP655435:TVT655435 TVP720971:TVT720971 TVP786507:TVT786507 TVP852043:TVT852043 TVP917579:TVT917579 TVP983115:TVT983115 UFL72:UFP72 UFL65611:UFP65611 UFL131147:UFP131147 UFL196683:UFP196683 UFL262219:UFP262219 UFL327755:UFP327755 UFL393291:UFP393291 UFL458827:UFP458827 UFL524363:UFP524363 UFL589899:UFP589899 UFL655435:UFP655435 UFL720971:UFP720971 UFL786507:UFP786507 UFL852043:UFP852043 UFL917579:UFP917579 UFL983115:UFP983115 UPH72:UPL72 UPH65611:UPL65611 UPH131147:UPL131147 UPH196683:UPL196683 UPH262219:UPL262219 UPH327755:UPL327755 UPH393291:UPL393291 UPH458827:UPL458827 UPH524363:UPL524363 UPH589899:UPL589899 UPH655435:UPL655435 UPH720971:UPL720971 UPH786507:UPL786507 UPH852043:UPL852043 UPH917579:UPL917579 UPH983115:UPL983115 UZD72:UZH72 UZD65611:UZH65611 UZD131147:UZH131147 UZD196683:UZH196683 UZD262219:UZH262219 UZD327755:UZH327755 UZD393291:UZH393291 UZD458827:UZH458827 UZD524363:UZH524363 UZD589899:UZH589899 UZD655435:UZH655435 UZD720971:UZH720971 UZD786507:UZH786507 UZD852043:UZH852043 UZD917579:UZH917579 UZD983115:UZH983115 VIZ72:VJD72 VIZ65611:VJD65611 VIZ131147:VJD131147 VIZ196683:VJD196683 VIZ262219:VJD262219 VIZ327755:VJD327755 VIZ393291:VJD393291 VIZ458827:VJD458827 VIZ524363:VJD524363 VIZ589899:VJD589899 VIZ655435:VJD655435 VIZ720971:VJD720971 VIZ786507:VJD786507 VIZ852043:VJD852043 VIZ917579:VJD917579 VIZ983115:VJD983115 VSV72:VSZ72 VSV65611:VSZ65611 VSV131147:VSZ131147 VSV196683:VSZ196683 VSV262219:VSZ262219 VSV327755:VSZ327755 VSV393291:VSZ393291 VSV458827:VSZ458827 VSV524363:VSZ524363 VSV589899:VSZ589899 VSV655435:VSZ655435 VSV720971:VSZ720971 VSV786507:VSZ786507 VSV852043:VSZ852043 VSV917579:VSZ917579 VSV983115:VSZ983115 WCR72:WCV72 WCR65611:WCV65611 WCR131147:WCV131147 WCR196683:WCV196683 WCR262219:WCV262219 WCR327755:WCV327755 WCR393291:WCV393291 WCR458827:WCV458827 WCR524363:WCV524363 WCR589899:WCV589899 WCR655435:WCV655435 WCR720971:WCV720971 WCR786507:WCV786507 WCR852043:WCV852043 WCR917579:WCV917579 WCR983115:WCV983115 WMN72:WMR72 WMN65611:WMR65611 WMN131147:WMR131147 WMN196683:WMR196683 WMN262219:WMR262219 WMN327755:WMR327755 WMN393291:WMR393291 WMN458827:WMR458827 WMN524363:WMR524363 WMN589899:WMR589899 WMN655435:WMR655435 WMN720971:WMR720971 WMN786507:WMR786507 WMN852043:WMR852043 WMN917579:WMR917579 WMN983115:WMR983115 WWJ72:WWN72 WWJ65611:WWN65611 WWJ131147:WWN131147 WWJ196683:WWN196683 WWJ262219:WWN262219 WWJ327755:WWN327755 WWJ393291:WWN393291 WWJ458827:WWN458827 WWJ524363:WWN524363 WWJ589899:WWN589899 WWJ655435:WWN655435 WWJ720971:WWN720971 WWJ786507:WWN786507 WWJ852043:WWN852043 WWJ917579:WWN917579 WWJ983115:WWN983115" xr:uid="{00000000-0002-0000-0700-000000000000}">
      <formula1>0.6</formula1>
    </dataValidation>
    <dataValidation type="decimal" allowBlank="1" showInputMessage="1" showErrorMessage="1" errorTitle="Federal Tax Credit Factor" error="Federal Tax Credit Factor must be within stated range" sqref="AB65593:AF65593 AB131129:AF131129 AB196665:AF196665 AB262201:AF262201 AB327737:AF327737 AB393273:AF393273 AB458809:AF458809 AB524345:AF524345 AB589881:AF589881 AB655417:AF655417 AB720953:AF720953 AB786489:AF786489 AB852025:AF852025 AB917561:AF917561 AB983097:AF983097 JX50:KB50 JX65593:KB65593 JX131129:KB131129 JX196665:KB196665 JX262201:KB262201 JX327737:KB327737 JX393273:KB393273 JX458809:KB458809 JX524345:KB524345 JX589881:KB589881 JX655417:KB655417 JX720953:KB720953 JX786489:KB786489 JX852025:KB852025 JX917561:KB917561 JX983097:KB983097 TT50:TX50 TT65593:TX65593 TT131129:TX131129 TT196665:TX196665 TT262201:TX262201 TT327737:TX327737 TT393273:TX393273 TT458809:TX458809 TT524345:TX524345 TT589881:TX589881 TT655417:TX655417 TT720953:TX720953 TT786489:TX786489 TT852025:TX852025 TT917561:TX917561 TT983097:TX983097 ADP50:ADT50 ADP65593:ADT65593 ADP131129:ADT131129 ADP196665:ADT196665 ADP262201:ADT262201 ADP327737:ADT327737 ADP393273:ADT393273 ADP458809:ADT458809 ADP524345:ADT524345 ADP589881:ADT589881 ADP655417:ADT655417 ADP720953:ADT720953 ADP786489:ADT786489 ADP852025:ADT852025 ADP917561:ADT917561 ADP983097:ADT983097 ANL50:ANP50 ANL65593:ANP65593 ANL131129:ANP131129 ANL196665:ANP196665 ANL262201:ANP262201 ANL327737:ANP327737 ANL393273:ANP393273 ANL458809:ANP458809 ANL524345:ANP524345 ANL589881:ANP589881 ANL655417:ANP655417 ANL720953:ANP720953 ANL786489:ANP786489 ANL852025:ANP852025 ANL917561:ANP917561 ANL983097:ANP983097 AXH50:AXL50 AXH65593:AXL65593 AXH131129:AXL131129 AXH196665:AXL196665 AXH262201:AXL262201 AXH327737:AXL327737 AXH393273:AXL393273 AXH458809:AXL458809 AXH524345:AXL524345 AXH589881:AXL589881 AXH655417:AXL655417 AXH720953:AXL720953 AXH786489:AXL786489 AXH852025:AXL852025 AXH917561:AXL917561 AXH983097:AXL983097 BHD50:BHH50 BHD65593:BHH65593 BHD131129:BHH131129 BHD196665:BHH196665 BHD262201:BHH262201 BHD327737:BHH327737 BHD393273:BHH393273 BHD458809:BHH458809 BHD524345:BHH524345 BHD589881:BHH589881 BHD655417:BHH655417 BHD720953:BHH720953 BHD786489:BHH786489 BHD852025:BHH852025 BHD917561:BHH917561 BHD983097:BHH983097 BQZ50:BRD50 BQZ65593:BRD65593 BQZ131129:BRD131129 BQZ196665:BRD196665 BQZ262201:BRD262201 BQZ327737:BRD327737 BQZ393273:BRD393273 BQZ458809:BRD458809 BQZ524345:BRD524345 BQZ589881:BRD589881 BQZ655417:BRD655417 BQZ720953:BRD720953 BQZ786489:BRD786489 BQZ852025:BRD852025 BQZ917561:BRD917561 BQZ983097:BRD983097 CAV50:CAZ50 CAV65593:CAZ65593 CAV131129:CAZ131129 CAV196665:CAZ196665 CAV262201:CAZ262201 CAV327737:CAZ327737 CAV393273:CAZ393273 CAV458809:CAZ458809 CAV524345:CAZ524345 CAV589881:CAZ589881 CAV655417:CAZ655417 CAV720953:CAZ720953 CAV786489:CAZ786489 CAV852025:CAZ852025 CAV917561:CAZ917561 CAV983097:CAZ983097 CKR50:CKV50 CKR65593:CKV65593 CKR131129:CKV131129 CKR196665:CKV196665 CKR262201:CKV262201 CKR327737:CKV327737 CKR393273:CKV393273 CKR458809:CKV458809 CKR524345:CKV524345 CKR589881:CKV589881 CKR655417:CKV655417 CKR720953:CKV720953 CKR786489:CKV786489 CKR852025:CKV852025 CKR917561:CKV917561 CKR983097:CKV983097 CUN50:CUR50 CUN65593:CUR65593 CUN131129:CUR131129 CUN196665:CUR196665 CUN262201:CUR262201 CUN327737:CUR327737 CUN393273:CUR393273 CUN458809:CUR458809 CUN524345:CUR524345 CUN589881:CUR589881 CUN655417:CUR655417 CUN720953:CUR720953 CUN786489:CUR786489 CUN852025:CUR852025 CUN917561:CUR917561 CUN983097:CUR983097 DEJ50:DEN50 DEJ65593:DEN65593 DEJ131129:DEN131129 DEJ196665:DEN196665 DEJ262201:DEN262201 DEJ327737:DEN327737 DEJ393273:DEN393273 DEJ458809:DEN458809 DEJ524345:DEN524345 DEJ589881:DEN589881 DEJ655417:DEN655417 DEJ720953:DEN720953 DEJ786489:DEN786489 DEJ852025:DEN852025 DEJ917561:DEN917561 DEJ983097:DEN983097 DOF50:DOJ50 DOF65593:DOJ65593 DOF131129:DOJ131129 DOF196665:DOJ196665 DOF262201:DOJ262201 DOF327737:DOJ327737 DOF393273:DOJ393273 DOF458809:DOJ458809 DOF524345:DOJ524345 DOF589881:DOJ589881 DOF655417:DOJ655417 DOF720953:DOJ720953 DOF786489:DOJ786489 DOF852025:DOJ852025 DOF917561:DOJ917561 DOF983097:DOJ983097 DYB50:DYF50 DYB65593:DYF65593 DYB131129:DYF131129 DYB196665:DYF196665 DYB262201:DYF262201 DYB327737:DYF327737 DYB393273:DYF393273 DYB458809:DYF458809 DYB524345:DYF524345 DYB589881:DYF589881 DYB655417:DYF655417 DYB720953:DYF720953 DYB786489:DYF786489 DYB852025:DYF852025 DYB917561:DYF917561 DYB983097:DYF983097 EHX50:EIB50 EHX65593:EIB65593 EHX131129:EIB131129 EHX196665:EIB196665 EHX262201:EIB262201 EHX327737:EIB327737 EHX393273:EIB393273 EHX458809:EIB458809 EHX524345:EIB524345 EHX589881:EIB589881 EHX655417:EIB655417 EHX720953:EIB720953 EHX786489:EIB786489 EHX852025:EIB852025 EHX917561:EIB917561 EHX983097:EIB983097 ERT50:ERX50 ERT65593:ERX65593 ERT131129:ERX131129 ERT196665:ERX196665 ERT262201:ERX262201 ERT327737:ERX327737 ERT393273:ERX393273 ERT458809:ERX458809 ERT524345:ERX524345 ERT589881:ERX589881 ERT655417:ERX655417 ERT720953:ERX720953 ERT786489:ERX786489 ERT852025:ERX852025 ERT917561:ERX917561 ERT983097:ERX983097 FBP50:FBT50 FBP65593:FBT65593 FBP131129:FBT131129 FBP196665:FBT196665 FBP262201:FBT262201 FBP327737:FBT327737 FBP393273:FBT393273 FBP458809:FBT458809 FBP524345:FBT524345 FBP589881:FBT589881 FBP655417:FBT655417 FBP720953:FBT720953 FBP786489:FBT786489 FBP852025:FBT852025 FBP917561:FBT917561 FBP983097:FBT983097 FLL50:FLP50 FLL65593:FLP65593 FLL131129:FLP131129 FLL196665:FLP196665 FLL262201:FLP262201 FLL327737:FLP327737 FLL393273:FLP393273 FLL458809:FLP458809 FLL524345:FLP524345 FLL589881:FLP589881 FLL655417:FLP655417 FLL720953:FLP720953 FLL786489:FLP786489 FLL852025:FLP852025 FLL917561:FLP917561 FLL983097:FLP983097 FVH50:FVL50 FVH65593:FVL65593 FVH131129:FVL131129 FVH196665:FVL196665 FVH262201:FVL262201 FVH327737:FVL327737 FVH393273:FVL393273 FVH458809:FVL458809 FVH524345:FVL524345 FVH589881:FVL589881 FVH655417:FVL655417 FVH720953:FVL720953 FVH786489:FVL786489 FVH852025:FVL852025 FVH917561:FVL917561 FVH983097:FVL983097 GFD50:GFH50 GFD65593:GFH65593 GFD131129:GFH131129 GFD196665:GFH196665 GFD262201:GFH262201 GFD327737:GFH327737 GFD393273:GFH393273 GFD458809:GFH458809 GFD524345:GFH524345 GFD589881:GFH589881 GFD655417:GFH655417 GFD720953:GFH720953 GFD786489:GFH786489 GFD852025:GFH852025 GFD917561:GFH917561 GFD983097:GFH983097 GOZ50:GPD50 GOZ65593:GPD65593 GOZ131129:GPD131129 GOZ196665:GPD196665 GOZ262201:GPD262201 GOZ327737:GPD327737 GOZ393273:GPD393273 GOZ458809:GPD458809 GOZ524345:GPD524345 GOZ589881:GPD589881 GOZ655417:GPD655417 GOZ720953:GPD720953 GOZ786489:GPD786489 GOZ852025:GPD852025 GOZ917561:GPD917561 GOZ983097:GPD983097 GYV50:GYZ50 GYV65593:GYZ65593 GYV131129:GYZ131129 GYV196665:GYZ196665 GYV262201:GYZ262201 GYV327737:GYZ327737 GYV393273:GYZ393273 GYV458809:GYZ458809 GYV524345:GYZ524345 GYV589881:GYZ589881 GYV655417:GYZ655417 GYV720953:GYZ720953 GYV786489:GYZ786489 GYV852025:GYZ852025 GYV917561:GYZ917561 GYV983097:GYZ983097 HIR50:HIV50 HIR65593:HIV65593 HIR131129:HIV131129 HIR196665:HIV196665 HIR262201:HIV262201 HIR327737:HIV327737 HIR393273:HIV393273 HIR458809:HIV458809 HIR524345:HIV524345 HIR589881:HIV589881 HIR655417:HIV655417 HIR720953:HIV720953 HIR786489:HIV786489 HIR852025:HIV852025 HIR917561:HIV917561 HIR983097:HIV983097 HSN50:HSR50 HSN65593:HSR65593 HSN131129:HSR131129 HSN196665:HSR196665 HSN262201:HSR262201 HSN327737:HSR327737 HSN393273:HSR393273 HSN458809:HSR458809 HSN524345:HSR524345 HSN589881:HSR589881 HSN655417:HSR655417 HSN720953:HSR720953 HSN786489:HSR786489 HSN852025:HSR852025 HSN917561:HSR917561 HSN983097:HSR983097 ICJ50:ICN50 ICJ65593:ICN65593 ICJ131129:ICN131129 ICJ196665:ICN196665 ICJ262201:ICN262201 ICJ327737:ICN327737 ICJ393273:ICN393273 ICJ458809:ICN458809 ICJ524345:ICN524345 ICJ589881:ICN589881 ICJ655417:ICN655417 ICJ720953:ICN720953 ICJ786489:ICN786489 ICJ852025:ICN852025 ICJ917561:ICN917561 ICJ983097:ICN983097 IMF50:IMJ50 IMF65593:IMJ65593 IMF131129:IMJ131129 IMF196665:IMJ196665 IMF262201:IMJ262201 IMF327737:IMJ327737 IMF393273:IMJ393273 IMF458809:IMJ458809 IMF524345:IMJ524345 IMF589881:IMJ589881 IMF655417:IMJ655417 IMF720953:IMJ720953 IMF786489:IMJ786489 IMF852025:IMJ852025 IMF917561:IMJ917561 IMF983097:IMJ983097 IWB50:IWF50 IWB65593:IWF65593 IWB131129:IWF131129 IWB196665:IWF196665 IWB262201:IWF262201 IWB327737:IWF327737 IWB393273:IWF393273 IWB458809:IWF458809 IWB524345:IWF524345 IWB589881:IWF589881 IWB655417:IWF655417 IWB720953:IWF720953 IWB786489:IWF786489 IWB852025:IWF852025 IWB917561:IWF917561 IWB983097:IWF983097 JFX50:JGB50 JFX65593:JGB65593 JFX131129:JGB131129 JFX196665:JGB196665 JFX262201:JGB262201 JFX327737:JGB327737 JFX393273:JGB393273 JFX458809:JGB458809 JFX524345:JGB524345 JFX589881:JGB589881 JFX655417:JGB655417 JFX720953:JGB720953 JFX786489:JGB786489 JFX852025:JGB852025 JFX917561:JGB917561 JFX983097:JGB983097 JPT50:JPX50 JPT65593:JPX65593 JPT131129:JPX131129 JPT196665:JPX196665 JPT262201:JPX262201 JPT327737:JPX327737 JPT393273:JPX393273 JPT458809:JPX458809 JPT524345:JPX524345 JPT589881:JPX589881 JPT655417:JPX655417 JPT720953:JPX720953 JPT786489:JPX786489 JPT852025:JPX852025 JPT917561:JPX917561 JPT983097:JPX983097 JZP50:JZT50 JZP65593:JZT65593 JZP131129:JZT131129 JZP196665:JZT196665 JZP262201:JZT262201 JZP327737:JZT327737 JZP393273:JZT393273 JZP458809:JZT458809 JZP524345:JZT524345 JZP589881:JZT589881 JZP655417:JZT655417 JZP720953:JZT720953 JZP786489:JZT786489 JZP852025:JZT852025 JZP917561:JZT917561 JZP983097:JZT983097 KJL50:KJP50 KJL65593:KJP65593 KJL131129:KJP131129 KJL196665:KJP196665 KJL262201:KJP262201 KJL327737:KJP327737 KJL393273:KJP393273 KJL458809:KJP458809 KJL524345:KJP524345 KJL589881:KJP589881 KJL655417:KJP655417 KJL720953:KJP720953 KJL786489:KJP786489 KJL852025:KJP852025 KJL917561:KJP917561 KJL983097:KJP983097 KTH50:KTL50 KTH65593:KTL65593 KTH131129:KTL131129 KTH196665:KTL196665 KTH262201:KTL262201 KTH327737:KTL327737 KTH393273:KTL393273 KTH458809:KTL458809 KTH524345:KTL524345 KTH589881:KTL589881 KTH655417:KTL655417 KTH720953:KTL720953 KTH786489:KTL786489 KTH852025:KTL852025 KTH917561:KTL917561 KTH983097:KTL983097 LDD50:LDH50 LDD65593:LDH65593 LDD131129:LDH131129 LDD196665:LDH196665 LDD262201:LDH262201 LDD327737:LDH327737 LDD393273:LDH393273 LDD458809:LDH458809 LDD524345:LDH524345 LDD589881:LDH589881 LDD655417:LDH655417 LDD720953:LDH720953 LDD786489:LDH786489 LDD852025:LDH852025 LDD917561:LDH917561 LDD983097:LDH983097 LMZ50:LND50 LMZ65593:LND65593 LMZ131129:LND131129 LMZ196665:LND196665 LMZ262201:LND262201 LMZ327737:LND327737 LMZ393273:LND393273 LMZ458809:LND458809 LMZ524345:LND524345 LMZ589881:LND589881 LMZ655417:LND655417 LMZ720953:LND720953 LMZ786489:LND786489 LMZ852025:LND852025 LMZ917561:LND917561 LMZ983097:LND983097 LWV50:LWZ50 LWV65593:LWZ65593 LWV131129:LWZ131129 LWV196665:LWZ196665 LWV262201:LWZ262201 LWV327737:LWZ327737 LWV393273:LWZ393273 LWV458809:LWZ458809 LWV524345:LWZ524345 LWV589881:LWZ589881 LWV655417:LWZ655417 LWV720953:LWZ720953 LWV786489:LWZ786489 LWV852025:LWZ852025 LWV917561:LWZ917561 LWV983097:LWZ983097 MGR50:MGV50 MGR65593:MGV65593 MGR131129:MGV131129 MGR196665:MGV196665 MGR262201:MGV262201 MGR327737:MGV327737 MGR393273:MGV393273 MGR458809:MGV458809 MGR524345:MGV524345 MGR589881:MGV589881 MGR655417:MGV655417 MGR720953:MGV720953 MGR786489:MGV786489 MGR852025:MGV852025 MGR917561:MGV917561 MGR983097:MGV983097 MQN50:MQR50 MQN65593:MQR65593 MQN131129:MQR131129 MQN196665:MQR196665 MQN262201:MQR262201 MQN327737:MQR327737 MQN393273:MQR393273 MQN458809:MQR458809 MQN524345:MQR524345 MQN589881:MQR589881 MQN655417:MQR655417 MQN720953:MQR720953 MQN786489:MQR786489 MQN852025:MQR852025 MQN917561:MQR917561 MQN983097:MQR983097 NAJ50:NAN50 NAJ65593:NAN65593 NAJ131129:NAN131129 NAJ196665:NAN196665 NAJ262201:NAN262201 NAJ327737:NAN327737 NAJ393273:NAN393273 NAJ458809:NAN458809 NAJ524345:NAN524345 NAJ589881:NAN589881 NAJ655417:NAN655417 NAJ720953:NAN720953 NAJ786489:NAN786489 NAJ852025:NAN852025 NAJ917561:NAN917561 NAJ983097:NAN983097 NKF50:NKJ50 NKF65593:NKJ65593 NKF131129:NKJ131129 NKF196665:NKJ196665 NKF262201:NKJ262201 NKF327737:NKJ327737 NKF393273:NKJ393273 NKF458809:NKJ458809 NKF524345:NKJ524345 NKF589881:NKJ589881 NKF655417:NKJ655417 NKF720953:NKJ720953 NKF786489:NKJ786489 NKF852025:NKJ852025 NKF917561:NKJ917561 NKF983097:NKJ983097 NUB50:NUF50 NUB65593:NUF65593 NUB131129:NUF131129 NUB196665:NUF196665 NUB262201:NUF262201 NUB327737:NUF327737 NUB393273:NUF393273 NUB458809:NUF458809 NUB524345:NUF524345 NUB589881:NUF589881 NUB655417:NUF655417 NUB720953:NUF720953 NUB786489:NUF786489 NUB852025:NUF852025 NUB917561:NUF917561 NUB983097:NUF983097 ODX50:OEB50 ODX65593:OEB65593 ODX131129:OEB131129 ODX196665:OEB196665 ODX262201:OEB262201 ODX327737:OEB327737 ODX393273:OEB393273 ODX458809:OEB458809 ODX524345:OEB524345 ODX589881:OEB589881 ODX655417:OEB655417 ODX720953:OEB720953 ODX786489:OEB786489 ODX852025:OEB852025 ODX917561:OEB917561 ODX983097:OEB983097 ONT50:ONX50 ONT65593:ONX65593 ONT131129:ONX131129 ONT196665:ONX196665 ONT262201:ONX262201 ONT327737:ONX327737 ONT393273:ONX393273 ONT458809:ONX458809 ONT524345:ONX524345 ONT589881:ONX589881 ONT655417:ONX655417 ONT720953:ONX720953 ONT786489:ONX786489 ONT852025:ONX852025 ONT917561:ONX917561 ONT983097:ONX983097 OXP50:OXT50 OXP65593:OXT65593 OXP131129:OXT131129 OXP196665:OXT196665 OXP262201:OXT262201 OXP327737:OXT327737 OXP393273:OXT393273 OXP458809:OXT458809 OXP524345:OXT524345 OXP589881:OXT589881 OXP655417:OXT655417 OXP720953:OXT720953 OXP786489:OXT786489 OXP852025:OXT852025 OXP917561:OXT917561 OXP983097:OXT983097 PHL50:PHP50 PHL65593:PHP65593 PHL131129:PHP131129 PHL196665:PHP196665 PHL262201:PHP262201 PHL327737:PHP327737 PHL393273:PHP393273 PHL458809:PHP458809 PHL524345:PHP524345 PHL589881:PHP589881 PHL655417:PHP655417 PHL720953:PHP720953 PHL786489:PHP786489 PHL852025:PHP852025 PHL917561:PHP917561 PHL983097:PHP983097 PRH50:PRL50 PRH65593:PRL65593 PRH131129:PRL131129 PRH196665:PRL196665 PRH262201:PRL262201 PRH327737:PRL327737 PRH393273:PRL393273 PRH458809:PRL458809 PRH524345:PRL524345 PRH589881:PRL589881 PRH655417:PRL655417 PRH720953:PRL720953 PRH786489:PRL786489 PRH852025:PRL852025 PRH917561:PRL917561 PRH983097:PRL983097 QBD50:QBH50 QBD65593:QBH65593 QBD131129:QBH131129 QBD196665:QBH196665 QBD262201:QBH262201 QBD327737:QBH327737 QBD393273:QBH393273 QBD458809:QBH458809 QBD524345:QBH524345 QBD589881:QBH589881 QBD655417:QBH655417 QBD720953:QBH720953 QBD786489:QBH786489 QBD852025:QBH852025 QBD917561:QBH917561 QBD983097:QBH983097 QKZ50:QLD50 QKZ65593:QLD65593 QKZ131129:QLD131129 QKZ196665:QLD196665 QKZ262201:QLD262201 QKZ327737:QLD327737 QKZ393273:QLD393273 QKZ458809:QLD458809 QKZ524345:QLD524345 QKZ589881:QLD589881 QKZ655417:QLD655417 QKZ720953:QLD720953 QKZ786489:QLD786489 QKZ852025:QLD852025 QKZ917561:QLD917561 QKZ983097:QLD983097 QUV50:QUZ50 QUV65593:QUZ65593 QUV131129:QUZ131129 QUV196665:QUZ196665 QUV262201:QUZ262201 QUV327737:QUZ327737 QUV393273:QUZ393273 QUV458809:QUZ458809 QUV524345:QUZ524345 QUV589881:QUZ589881 QUV655417:QUZ655417 QUV720953:QUZ720953 QUV786489:QUZ786489 QUV852025:QUZ852025 QUV917561:QUZ917561 QUV983097:QUZ983097 RER50:REV50 RER65593:REV65593 RER131129:REV131129 RER196665:REV196665 RER262201:REV262201 RER327737:REV327737 RER393273:REV393273 RER458809:REV458809 RER524345:REV524345 RER589881:REV589881 RER655417:REV655417 RER720953:REV720953 RER786489:REV786489 RER852025:REV852025 RER917561:REV917561 RER983097:REV983097 RON50:ROR50 RON65593:ROR65593 RON131129:ROR131129 RON196665:ROR196665 RON262201:ROR262201 RON327737:ROR327737 RON393273:ROR393273 RON458809:ROR458809 RON524345:ROR524345 RON589881:ROR589881 RON655417:ROR655417 RON720953:ROR720953 RON786489:ROR786489 RON852025:ROR852025 RON917561:ROR917561 RON983097:ROR983097 RYJ50:RYN50 RYJ65593:RYN65593 RYJ131129:RYN131129 RYJ196665:RYN196665 RYJ262201:RYN262201 RYJ327737:RYN327737 RYJ393273:RYN393273 RYJ458809:RYN458809 RYJ524345:RYN524345 RYJ589881:RYN589881 RYJ655417:RYN655417 RYJ720953:RYN720953 RYJ786489:RYN786489 RYJ852025:RYN852025 RYJ917561:RYN917561 RYJ983097:RYN983097 SIF50:SIJ50 SIF65593:SIJ65593 SIF131129:SIJ131129 SIF196665:SIJ196665 SIF262201:SIJ262201 SIF327737:SIJ327737 SIF393273:SIJ393273 SIF458809:SIJ458809 SIF524345:SIJ524345 SIF589881:SIJ589881 SIF655417:SIJ655417 SIF720953:SIJ720953 SIF786489:SIJ786489 SIF852025:SIJ852025 SIF917561:SIJ917561 SIF983097:SIJ983097 SSB50:SSF50 SSB65593:SSF65593 SSB131129:SSF131129 SSB196665:SSF196665 SSB262201:SSF262201 SSB327737:SSF327737 SSB393273:SSF393273 SSB458809:SSF458809 SSB524345:SSF524345 SSB589881:SSF589881 SSB655417:SSF655417 SSB720953:SSF720953 SSB786489:SSF786489 SSB852025:SSF852025 SSB917561:SSF917561 SSB983097:SSF983097 TBX50:TCB50 TBX65593:TCB65593 TBX131129:TCB131129 TBX196665:TCB196665 TBX262201:TCB262201 TBX327737:TCB327737 TBX393273:TCB393273 TBX458809:TCB458809 TBX524345:TCB524345 TBX589881:TCB589881 TBX655417:TCB655417 TBX720953:TCB720953 TBX786489:TCB786489 TBX852025:TCB852025 TBX917561:TCB917561 TBX983097:TCB983097 TLT50:TLX50 TLT65593:TLX65593 TLT131129:TLX131129 TLT196665:TLX196665 TLT262201:TLX262201 TLT327737:TLX327737 TLT393273:TLX393273 TLT458809:TLX458809 TLT524345:TLX524345 TLT589881:TLX589881 TLT655417:TLX655417 TLT720953:TLX720953 TLT786489:TLX786489 TLT852025:TLX852025 TLT917561:TLX917561 TLT983097:TLX983097 TVP50:TVT50 TVP65593:TVT65593 TVP131129:TVT131129 TVP196665:TVT196665 TVP262201:TVT262201 TVP327737:TVT327737 TVP393273:TVT393273 TVP458809:TVT458809 TVP524345:TVT524345 TVP589881:TVT589881 TVP655417:TVT655417 TVP720953:TVT720953 TVP786489:TVT786489 TVP852025:TVT852025 TVP917561:TVT917561 TVP983097:TVT983097 UFL50:UFP50 UFL65593:UFP65593 UFL131129:UFP131129 UFL196665:UFP196665 UFL262201:UFP262201 UFL327737:UFP327737 UFL393273:UFP393273 UFL458809:UFP458809 UFL524345:UFP524345 UFL589881:UFP589881 UFL655417:UFP655417 UFL720953:UFP720953 UFL786489:UFP786489 UFL852025:UFP852025 UFL917561:UFP917561 UFL983097:UFP983097 UPH50:UPL50 UPH65593:UPL65593 UPH131129:UPL131129 UPH196665:UPL196665 UPH262201:UPL262201 UPH327737:UPL327737 UPH393273:UPL393273 UPH458809:UPL458809 UPH524345:UPL524345 UPH589881:UPL589881 UPH655417:UPL655417 UPH720953:UPL720953 UPH786489:UPL786489 UPH852025:UPL852025 UPH917561:UPL917561 UPH983097:UPL983097 UZD50:UZH50 UZD65593:UZH65593 UZD131129:UZH131129 UZD196665:UZH196665 UZD262201:UZH262201 UZD327737:UZH327737 UZD393273:UZH393273 UZD458809:UZH458809 UZD524345:UZH524345 UZD589881:UZH589881 UZD655417:UZH655417 UZD720953:UZH720953 UZD786489:UZH786489 UZD852025:UZH852025 UZD917561:UZH917561 UZD983097:UZH983097 VIZ50:VJD50 VIZ65593:VJD65593 VIZ131129:VJD131129 VIZ196665:VJD196665 VIZ262201:VJD262201 VIZ327737:VJD327737 VIZ393273:VJD393273 VIZ458809:VJD458809 VIZ524345:VJD524345 VIZ589881:VJD589881 VIZ655417:VJD655417 VIZ720953:VJD720953 VIZ786489:VJD786489 VIZ852025:VJD852025 VIZ917561:VJD917561 VIZ983097:VJD983097 VSV50:VSZ50 VSV65593:VSZ65593 VSV131129:VSZ131129 VSV196665:VSZ196665 VSV262201:VSZ262201 VSV327737:VSZ327737 VSV393273:VSZ393273 VSV458809:VSZ458809 VSV524345:VSZ524345 VSV589881:VSZ589881 VSV655417:VSZ655417 VSV720953:VSZ720953 VSV786489:VSZ786489 VSV852025:VSZ852025 VSV917561:VSZ917561 VSV983097:VSZ983097 WCR50:WCV50 WCR65593:WCV65593 WCR131129:WCV131129 WCR196665:WCV196665 WCR262201:WCV262201 WCR327737:WCV327737 WCR393273:WCV393273 WCR458809:WCV458809 WCR524345:WCV524345 WCR589881:WCV589881 WCR655417:WCV655417 WCR720953:WCV720953 WCR786489:WCV786489 WCR852025:WCV852025 WCR917561:WCV917561 WCR983097:WCV983097 WMN50:WMR50 WMN65593:WMR65593 WMN131129:WMR131129 WMN196665:WMR196665 WMN262201:WMR262201 WMN327737:WMR327737 WMN393273:WMR393273 WMN458809:WMR458809 WMN524345:WMR524345 WMN589881:WMR589881 WMN655417:WMR655417 WMN720953:WMR720953 WMN786489:WMR786489 WMN852025:WMR852025 WMN917561:WMR917561 WMN983097:WMR983097 WWJ50:WWN50 WWJ65593:WWN65593 WWJ131129:WWN131129 WWJ196665:WWN196665 WWJ262201:WWN262201 WWJ327737:WWN327737 WWJ393273:WWN393273 WWJ458809:WWN458809 WWJ524345:WWN524345 WWJ589881:WWN589881 WWJ655417:WWN655417 WWJ720953:WWN720953 WWJ786489:WWN786489 WWJ852025:WWN852025 WWJ917561:WWN917561 WWJ983097:WWN983097" xr:uid="{00000000-0002-0000-0700-000001000000}">
      <formula1>0.75</formula1>
      <formula2>1.25</formula2>
    </dataValidation>
    <dataValidation type="whole" operator="greaterThanOrEqual" allowBlank="1" showInputMessage="1" showErrorMessage="1" sqref="T13:AM19 T65557:AM65563 T65565:AM65565 T131093:AM131099 T131101:AM131101 T196629:AM196635 T196637:AM196637 T262165:AM262171 T262173:AM262173 T327701:AM327707 T327709:AM327709 T393237:AM393243 T393245:AM393245 T458773:AM458779 T458781:AM458781 T524309:AM524315 T524317:AM524317 T589845:AM589851 T589853:AM589853 T655381:AM655387 T655389:AM655389 T720917:AM720923 T720925:AM720925 T786453:AM786459 T786461:AM786461 T851989:AM851995 T851997:AM851997 T917525:AM917531 T917533:AM917533 T983061:AM983067 T983069:AM983069 AD21:AM21 JP13:KI19 JP21:KI21 JP65557:KI65563 JP65565:KI65565 JP131093:KI131099 JP131101:KI131101 JP196629:KI196635 JP196637:KI196637 JP262165:KI262171 JP262173:KI262173 JP327701:KI327707 JP327709:KI327709 JP393237:KI393243 JP393245:KI393245 JP458773:KI458779 JP458781:KI458781 JP524309:KI524315 JP524317:KI524317 JP589845:KI589851 JP589853:KI589853 JP655381:KI655387 JP655389:KI655389 JP720917:KI720923 JP720925:KI720925 JP786453:KI786459 JP786461:KI786461 JP851989:KI851995 JP851997:KI851997 JP917525:KI917531 JP917533:KI917533 JP983061:KI983067 JP983069:KI983069 TL13:UE19 TL21:UE21 TL65557:UE65563 TL65565:UE65565 TL131093:UE131099 TL131101:UE131101 TL196629:UE196635 TL196637:UE196637 TL262165:UE262171 TL262173:UE262173 TL327701:UE327707 TL327709:UE327709 TL393237:UE393243 TL393245:UE393245 TL458773:UE458779 TL458781:UE458781 TL524309:UE524315 TL524317:UE524317 TL589845:UE589851 TL589853:UE589853 TL655381:UE655387 TL655389:UE655389 TL720917:UE720923 TL720925:UE720925 TL786453:UE786459 TL786461:UE786461 TL851989:UE851995 TL851997:UE851997 TL917525:UE917531 TL917533:UE917533 TL983061:UE983067 TL983069:UE983069 ADH13:AEA19 ADH21:AEA21 ADH65557:AEA65563 ADH65565:AEA65565 ADH131093:AEA131099 ADH131101:AEA131101 ADH196629:AEA196635 ADH196637:AEA196637 ADH262165:AEA262171 ADH262173:AEA262173 ADH327701:AEA327707 ADH327709:AEA327709 ADH393237:AEA393243 ADH393245:AEA393245 ADH458773:AEA458779 ADH458781:AEA458781 ADH524309:AEA524315 ADH524317:AEA524317 ADH589845:AEA589851 ADH589853:AEA589853 ADH655381:AEA655387 ADH655389:AEA655389 ADH720917:AEA720923 ADH720925:AEA720925 ADH786453:AEA786459 ADH786461:AEA786461 ADH851989:AEA851995 ADH851997:AEA851997 ADH917525:AEA917531 ADH917533:AEA917533 ADH983061:AEA983067 ADH983069:AEA983069 AND13:ANW19 AND21:ANW21 AND65557:ANW65563 AND65565:ANW65565 AND131093:ANW131099 AND131101:ANW131101 AND196629:ANW196635 AND196637:ANW196637 AND262165:ANW262171 AND262173:ANW262173 AND327701:ANW327707 AND327709:ANW327709 AND393237:ANW393243 AND393245:ANW393245 AND458773:ANW458779 AND458781:ANW458781 AND524309:ANW524315 AND524317:ANW524317 AND589845:ANW589851 AND589853:ANW589853 AND655381:ANW655387 AND655389:ANW655389 AND720917:ANW720923 AND720925:ANW720925 AND786453:ANW786459 AND786461:ANW786461 AND851989:ANW851995 AND851997:ANW851997 AND917525:ANW917531 AND917533:ANW917533 AND983061:ANW983067 AND983069:ANW983069 AWZ13:AXS19 AWZ21:AXS21 AWZ65557:AXS65563 AWZ65565:AXS65565 AWZ131093:AXS131099 AWZ131101:AXS131101 AWZ196629:AXS196635 AWZ196637:AXS196637 AWZ262165:AXS262171 AWZ262173:AXS262173 AWZ327701:AXS327707 AWZ327709:AXS327709 AWZ393237:AXS393243 AWZ393245:AXS393245 AWZ458773:AXS458779 AWZ458781:AXS458781 AWZ524309:AXS524315 AWZ524317:AXS524317 AWZ589845:AXS589851 AWZ589853:AXS589853 AWZ655381:AXS655387 AWZ655389:AXS655389 AWZ720917:AXS720923 AWZ720925:AXS720925 AWZ786453:AXS786459 AWZ786461:AXS786461 AWZ851989:AXS851995 AWZ851997:AXS851997 AWZ917525:AXS917531 AWZ917533:AXS917533 AWZ983061:AXS983067 AWZ983069:AXS983069 BGV13:BHO19 BGV21:BHO21 BGV65557:BHO65563 BGV65565:BHO65565 BGV131093:BHO131099 BGV131101:BHO131101 BGV196629:BHO196635 BGV196637:BHO196637 BGV262165:BHO262171 BGV262173:BHO262173 BGV327701:BHO327707 BGV327709:BHO327709 BGV393237:BHO393243 BGV393245:BHO393245 BGV458773:BHO458779 BGV458781:BHO458781 BGV524309:BHO524315 BGV524317:BHO524317 BGV589845:BHO589851 BGV589853:BHO589853 BGV655381:BHO655387 BGV655389:BHO655389 BGV720917:BHO720923 BGV720925:BHO720925 BGV786453:BHO786459 BGV786461:BHO786461 BGV851989:BHO851995 BGV851997:BHO851997 BGV917525:BHO917531 BGV917533:BHO917533 BGV983061:BHO983067 BGV983069:BHO983069 BQR13:BRK19 BQR21:BRK21 BQR65557:BRK65563 BQR65565:BRK65565 BQR131093:BRK131099 BQR131101:BRK131101 BQR196629:BRK196635 BQR196637:BRK196637 BQR262165:BRK262171 BQR262173:BRK262173 BQR327701:BRK327707 BQR327709:BRK327709 BQR393237:BRK393243 BQR393245:BRK393245 BQR458773:BRK458779 BQR458781:BRK458781 BQR524309:BRK524315 BQR524317:BRK524317 BQR589845:BRK589851 BQR589853:BRK589853 BQR655381:BRK655387 BQR655389:BRK655389 BQR720917:BRK720923 BQR720925:BRK720925 BQR786453:BRK786459 BQR786461:BRK786461 BQR851989:BRK851995 BQR851997:BRK851997 BQR917525:BRK917531 BQR917533:BRK917533 BQR983061:BRK983067 BQR983069:BRK983069 CAN13:CBG19 CAN21:CBG21 CAN65557:CBG65563 CAN65565:CBG65565 CAN131093:CBG131099 CAN131101:CBG131101 CAN196629:CBG196635 CAN196637:CBG196637 CAN262165:CBG262171 CAN262173:CBG262173 CAN327701:CBG327707 CAN327709:CBG327709 CAN393237:CBG393243 CAN393245:CBG393245 CAN458773:CBG458779 CAN458781:CBG458781 CAN524309:CBG524315 CAN524317:CBG524317 CAN589845:CBG589851 CAN589853:CBG589853 CAN655381:CBG655387 CAN655389:CBG655389 CAN720917:CBG720923 CAN720925:CBG720925 CAN786453:CBG786459 CAN786461:CBG786461 CAN851989:CBG851995 CAN851997:CBG851997 CAN917525:CBG917531 CAN917533:CBG917533 CAN983061:CBG983067 CAN983069:CBG983069 CKJ13:CLC19 CKJ21:CLC21 CKJ65557:CLC65563 CKJ65565:CLC65565 CKJ131093:CLC131099 CKJ131101:CLC131101 CKJ196629:CLC196635 CKJ196637:CLC196637 CKJ262165:CLC262171 CKJ262173:CLC262173 CKJ327701:CLC327707 CKJ327709:CLC327709 CKJ393237:CLC393243 CKJ393245:CLC393245 CKJ458773:CLC458779 CKJ458781:CLC458781 CKJ524309:CLC524315 CKJ524317:CLC524317 CKJ589845:CLC589851 CKJ589853:CLC589853 CKJ655381:CLC655387 CKJ655389:CLC655389 CKJ720917:CLC720923 CKJ720925:CLC720925 CKJ786453:CLC786459 CKJ786461:CLC786461 CKJ851989:CLC851995 CKJ851997:CLC851997 CKJ917525:CLC917531 CKJ917533:CLC917533 CKJ983061:CLC983067 CKJ983069:CLC983069 CUF13:CUY19 CUF21:CUY21 CUF65557:CUY65563 CUF65565:CUY65565 CUF131093:CUY131099 CUF131101:CUY131101 CUF196629:CUY196635 CUF196637:CUY196637 CUF262165:CUY262171 CUF262173:CUY262173 CUF327701:CUY327707 CUF327709:CUY327709 CUF393237:CUY393243 CUF393245:CUY393245 CUF458773:CUY458779 CUF458781:CUY458781 CUF524309:CUY524315 CUF524317:CUY524317 CUF589845:CUY589851 CUF589853:CUY589853 CUF655381:CUY655387 CUF655389:CUY655389 CUF720917:CUY720923 CUF720925:CUY720925 CUF786453:CUY786459 CUF786461:CUY786461 CUF851989:CUY851995 CUF851997:CUY851997 CUF917525:CUY917531 CUF917533:CUY917533 CUF983061:CUY983067 CUF983069:CUY983069 DEB13:DEU19 DEB21:DEU21 DEB65557:DEU65563 DEB65565:DEU65565 DEB131093:DEU131099 DEB131101:DEU131101 DEB196629:DEU196635 DEB196637:DEU196637 DEB262165:DEU262171 DEB262173:DEU262173 DEB327701:DEU327707 DEB327709:DEU327709 DEB393237:DEU393243 DEB393245:DEU393245 DEB458773:DEU458779 DEB458781:DEU458781 DEB524309:DEU524315 DEB524317:DEU524317 DEB589845:DEU589851 DEB589853:DEU589853 DEB655381:DEU655387 DEB655389:DEU655389 DEB720917:DEU720923 DEB720925:DEU720925 DEB786453:DEU786459 DEB786461:DEU786461 DEB851989:DEU851995 DEB851997:DEU851997 DEB917525:DEU917531 DEB917533:DEU917533 DEB983061:DEU983067 DEB983069:DEU983069 DNX13:DOQ19 DNX21:DOQ21 DNX65557:DOQ65563 DNX65565:DOQ65565 DNX131093:DOQ131099 DNX131101:DOQ131101 DNX196629:DOQ196635 DNX196637:DOQ196637 DNX262165:DOQ262171 DNX262173:DOQ262173 DNX327701:DOQ327707 DNX327709:DOQ327709 DNX393237:DOQ393243 DNX393245:DOQ393245 DNX458773:DOQ458779 DNX458781:DOQ458781 DNX524309:DOQ524315 DNX524317:DOQ524317 DNX589845:DOQ589851 DNX589853:DOQ589853 DNX655381:DOQ655387 DNX655389:DOQ655389 DNX720917:DOQ720923 DNX720925:DOQ720925 DNX786453:DOQ786459 DNX786461:DOQ786461 DNX851989:DOQ851995 DNX851997:DOQ851997 DNX917525:DOQ917531 DNX917533:DOQ917533 DNX983061:DOQ983067 DNX983069:DOQ983069 DXT13:DYM19 DXT21:DYM21 DXT65557:DYM65563 DXT65565:DYM65565 DXT131093:DYM131099 DXT131101:DYM131101 DXT196629:DYM196635 DXT196637:DYM196637 DXT262165:DYM262171 DXT262173:DYM262173 DXT327701:DYM327707 DXT327709:DYM327709 DXT393237:DYM393243 DXT393245:DYM393245 DXT458773:DYM458779 DXT458781:DYM458781 DXT524309:DYM524315 DXT524317:DYM524317 DXT589845:DYM589851 DXT589853:DYM589853 DXT655381:DYM655387 DXT655389:DYM655389 DXT720917:DYM720923 DXT720925:DYM720925 DXT786453:DYM786459 DXT786461:DYM786461 DXT851989:DYM851995 DXT851997:DYM851997 DXT917525:DYM917531 DXT917533:DYM917533 DXT983061:DYM983067 DXT983069:DYM983069 EHP13:EII19 EHP21:EII21 EHP65557:EII65563 EHP65565:EII65565 EHP131093:EII131099 EHP131101:EII131101 EHP196629:EII196635 EHP196637:EII196637 EHP262165:EII262171 EHP262173:EII262173 EHP327701:EII327707 EHP327709:EII327709 EHP393237:EII393243 EHP393245:EII393245 EHP458773:EII458779 EHP458781:EII458781 EHP524309:EII524315 EHP524317:EII524317 EHP589845:EII589851 EHP589853:EII589853 EHP655381:EII655387 EHP655389:EII655389 EHP720917:EII720923 EHP720925:EII720925 EHP786453:EII786459 EHP786461:EII786461 EHP851989:EII851995 EHP851997:EII851997 EHP917525:EII917531 EHP917533:EII917533 EHP983061:EII983067 EHP983069:EII983069 ERL13:ESE19 ERL21:ESE21 ERL65557:ESE65563 ERL65565:ESE65565 ERL131093:ESE131099 ERL131101:ESE131101 ERL196629:ESE196635 ERL196637:ESE196637 ERL262165:ESE262171 ERL262173:ESE262173 ERL327701:ESE327707 ERL327709:ESE327709 ERL393237:ESE393243 ERL393245:ESE393245 ERL458773:ESE458779 ERL458781:ESE458781 ERL524309:ESE524315 ERL524317:ESE524317 ERL589845:ESE589851 ERL589853:ESE589853 ERL655381:ESE655387 ERL655389:ESE655389 ERL720917:ESE720923 ERL720925:ESE720925 ERL786453:ESE786459 ERL786461:ESE786461 ERL851989:ESE851995 ERL851997:ESE851997 ERL917525:ESE917531 ERL917533:ESE917533 ERL983061:ESE983067 ERL983069:ESE983069 FBH13:FCA19 FBH21:FCA21 FBH65557:FCA65563 FBH65565:FCA65565 FBH131093:FCA131099 FBH131101:FCA131101 FBH196629:FCA196635 FBH196637:FCA196637 FBH262165:FCA262171 FBH262173:FCA262173 FBH327701:FCA327707 FBH327709:FCA327709 FBH393237:FCA393243 FBH393245:FCA393245 FBH458773:FCA458779 FBH458781:FCA458781 FBH524309:FCA524315 FBH524317:FCA524317 FBH589845:FCA589851 FBH589853:FCA589853 FBH655381:FCA655387 FBH655389:FCA655389 FBH720917:FCA720923 FBH720925:FCA720925 FBH786453:FCA786459 FBH786461:FCA786461 FBH851989:FCA851995 FBH851997:FCA851997 FBH917525:FCA917531 FBH917533:FCA917533 FBH983061:FCA983067 FBH983069:FCA983069 FLD13:FLW19 FLD21:FLW21 FLD65557:FLW65563 FLD65565:FLW65565 FLD131093:FLW131099 FLD131101:FLW131101 FLD196629:FLW196635 FLD196637:FLW196637 FLD262165:FLW262171 FLD262173:FLW262173 FLD327701:FLW327707 FLD327709:FLW327709 FLD393237:FLW393243 FLD393245:FLW393245 FLD458773:FLW458779 FLD458781:FLW458781 FLD524309:FLW524315 FLD524317:FLW524317 FLD589845:FLW589851 FLD589853:FLW589853 FLD655381:FLW655387 FLD655389:FLW655389 FLD720917:FLW720923 FLD720925:FLW720925 FLD786453:FLW786459 FLD786461:FLW786461 FLD851989:FLW851995 FLD851997:FLW851997 FLD917525:FLW917531 FLD917533:FLW917533 FLD983061:FLW983067 FLD983069:FLW983069 FUZ13:FVS19 FUZ21:FVS21 FUZ65557:FVS65563 FUZ65565:FVS65565 FUZ131093:FVS131099 FUZ131101:FVS131101 FUZ196629:FVS196635 FUZ196637:FVS196637 FUZ262165:FVS262171 FUZ262173:FVS262173 FUZ327701:FVS327707 FUZ327709:FVS327709 FUZ393237:FVS393243 FUZ393245:FVS393245 FUZ458773:FVS458779 FUZ458781:FVS458781 FUZ524309:FVS524315 FUZ524317:FVS524317 FUZ589845:FVS589851 FUZ589853:FVS589853 FUZ655381:FVS655387 FUZ655389:FVS655389 FUZ720917:FVS720923 FUZ720925:FVS720925 FUZ786453:FVS786459 FUZ786461:FVS786461 FUZ851989:FVS851995 FUZ851997:FVS851997 FUZ917525:FVS917531 FUZ917533:FVS917533 FUZ983061:FVS983067 FUZ983069:FVS983069 GEV13:GFO19 GEV21:GFO21 GEV65557:GFO65563 GEV65565:GFO65565 GEV131093:GFO131099 GEV131101:GFO131101 GEV196629:GFO196635 GEV196637:GFO196637 GEV262165:GFO262171 GEV262173:GFO262173 GEV327701:GFO327707 GEV327709:GFO327709 GEV393237:GFO393243 GEV393245:GFO393245 GEV458773:GFO458779 GEV458781:GFO458781 GEV524309:GFO524315 GEV524317:GFO524317 GEV589845:GFO589851 GEV589853:GFO589853 GEV655381:GFO655387 GEV655389:GFO655389 GEV720917:GFO720923 GEV720925:GFO720925 GEV786453:GFO786459 GEV786461:GFO786461 GEV851989:GFO851995 GEV851997:GFO851997 GEV917525:GFO917531 GEV917533:GFO917533 GEV983061:GFO983067 GEV983069:GFO983069 GOR13:GPK19 GOR21:GPK21 GOR65557:GPK65563 GOR65565:GPK65565 GOR131093:GPK131099 GOR131101:GPK131101 GOR196629:GPK196635 GOR196637:GPK196637 GOR262165:GPK262171 GOR262173:GPK262173 GOR327701:GPK327707 GOR327709:GPK327709 GOR393237:GPK393243 GOR393245:GPK393245 GOR458773:GPK458779 GOR458781:GPK458781 GOR524309:GPK524315 GOR524317:GPK524317 GOR589845:GPK589851 GOR589853:GPK589853 GOR655381:GPK655387 GOR655389:GPK655389 GOR720917:GPK720923 GOR720925:GPK720925 GOR786453:GPK786459 GOR786461:GPK786461 GOR851989:GPK851995 GOR851997:GPK851997 GOR917525:GPK917531 GOR917533:GPK917533 GOR983061:GPK983067 GOR983069:GPK983069 GYN13:GZG19 GYN21:GZG21 GYN65557:GZG65563 GYN65565:GZG65565 GYN131093:GZG131099 GYN131101:GZG131101 GYN196629:GZG196635 GYN196637:GZG196637 GYN262165:GZG262171 GYN262173:GZG262173 GYN327701:GZG327707 GYN327709:GZG327709 GYN393237:GZG393243 GYN393245:GZG393245 GYN458773:GZG458779 GYN458781:GZG458781 GYN524309:GZG524315 GYN524317:GZG524317 GYN589845:GZG589851 GYN589853:GZG589853 GYN655381:GZG655387 GYN655389:GZG655389 GYN720917:GZG720923 GYN720925:GZG720925 GYN786453:GZG786459 GYN786461:GZG786461 GYN851989:GZG851995 GYN851997:GZG851997 GYN917525:GZG917531 GYN917533:GZG917533 GYN983061:GZG983067 GYN983069:GZG983069 HIJ13:HJC19 HIJ21:HJC21 HIJ65557:HJC65563 HIJ65565:HJC65565 HIJ131093:HJC131099 HIJ131101:HJC131101 HIJ196629:HJC196635 HIJ196637:HJC196637 HIJ262165:HJC262171 HIJ262173:HJC262173 HIJ327701:HJC327707 HIJ327709:HJC327709 HIJ393237:HJC393243 HIJ393245:HJC393245 HIJ458773:HJC458779 HIJ458781:HJC458781 HIJ524309:HJC524315 HIJ524317:HJC524317 HIJ589845:HJC589851 HIJ589853:HJC589853 HIJ655381:HJC655387 HIJ655389:HJC655389 HIJ720917:HJC720923 HIJ720925:HJC720925 HIJ786453:HJC786459 HIJ786461:HJC786461 HIJ851989:HJC851995 HIJ851997:HJC851997 HIJ917525:HJC917531 HIJ917533:HJC917533 HIJ983061:HJC983067 HIJ983069:HJC983069 HSF13:HSY19 HSF21:HSY21 HSF65557:HSY65563 HSF65565:HSY65565 HSF131093:HSY131099 HSF131101:HSY131101 HSF196629:HSY196635 HSF196637:HSY196637 HSF262165:HSY262171 HSF262173:HSY262173 HSF327701:HSY327707 HSF327709:HSY327709 HSF393237:HSY393243 HSF393245:HSY393245 HSF458773:HSY458779 HSF458781:HSY458781 HSF524309:HSY524315 HSF524317:HSY524317 HSF589845:HSY589851 HSF589853:HSY589853 HSF655381:HSY655387 HSF655389:HSY655389 HSF720917:HSY720923 HSF720925:HSY720925 HSF786453:HSY786459 HSF786461:HSY786461 HSF851989:HSY851995 HSF851997:HSY851997 HSF917525:HSY917531 HSF917533:HSY917533 HSF983061:HSY983067 HSF983069:HSY983069 ICB13:ICU19 ICB21:ICU21 ICB65557:ICU65563 ICB65565:ICU65565 ICB131093:ICU131099 ICB131101:ICU131101 ICB196629:ICU196635 ICB196637:ICU196637 ICB262165:ICU262171 ICB262173:ICU262173 ICB327701:ICU327707 ICB327709:ICU327709 ICB393237:ICU393243 ICB393245:ICU393245 ICB458773:ICU458779 ICB458781:ICU458781 ICB524309:ICU524315 ICB524317:ICU524317 ICB589845:ICU589851 ICB589853:ICU589853 ICB655381:ICU655387 ICB655389:ICU655389 ICB720917:ICU720923 ICB720925:ICU720925 ICB786453:ICU786459 ICB786461:ICU786461 ICB851989:ICU851995 ICB851997:ICU851997 ICB917525:ICU917531 ICB917533:ICU917533 ICB983061:ICU983067 ICB983069:ICU983069 ILX13:IMQ19 ILX21:IMQ21 ILX65557:IMQ65563 ILX65565:IMQ65565 ILX131093:IMQ131099 ILX131101:IMQ131101 ILX196629:IMQ196635 ILX196637:IMQ196637 ILX262165:IMQ262171 ILX262173:IMQ262173 ILX327701:IMQ327707 ILX327709:IMQ327709 ILX393237:IMQ393243 ILX393245:IMQ393245 ILX458773:IMQ458779 ILX458781:IMQ458781 ILX524309:IMQ524315 ILX524317:IMQ524317 ILX589845:IMQ589851 ILX589853:IMQ589853 ILX655381:IMQ655387 ILX655389:IMQ655389 ILX720917:IMQ720923 ILX720925:IMQ720925 ILX786453:IMQ786459 ILX786461:IMQ786461 ILX851989:IMQ851995 ILX851997:IMQ851997 ILX917525:IMQ917531 ILX917533:IMQ917533 ILX983061:IMQ983067 ILX983069:IMQ983069 IVT13:IWM19 IVT21:IWM21 IVT65557:IWM65563 IVT65565:IWM65565 IVT131093:IWM131099 IVT131101:IWM131101 IVT196629:IWM196635 IVT196637:IWM196637 IVT262165:IWM262171 IVT262173:IWM262173 IVT327701:IWM327707 IVT327709:IWM327709 IVT393237:IWM393243 IVT393245:IWM393245 IVT458773:IWM458779 IVT458781:IWM458781 IVT524309:IWM524315 IVT524317:IWM524317 IVT589845:IWM589851 IVT589853:IWM589853 IVT655381:IWM655387 IVT655389:IWM655389 IVT720917:IWM720923 IVT720925:IWM720925 IVT786453:IWM786459 IVT786461:IWM786461 IVT851989:IWM851995 IVT851997:IWM851997 IVT917525:IWM917531 IVT917533:IWM917533 IVT983061:IWM983067 IVT983069:IWM983069 JFP13:JGI19 JFP21:JGI21 JFP65557:JGI65563 JFP65565:JGI65565 JFP131093:JGI131099 JFP131101:JGI131101 JFP196629:JGI196635 JFP196637:JGI196637 JFP262165:JGI262171 JFP262173:JGI262173 JFP327701:JGI327707 JFP327709:JGI327709 JFP393237:JGI393243 JFP393245:JGI393245 JFP458773:JGI458779 JFP458781:JGI458781 JFP524309:JGI524315 JFP524317:JGI524317 JFP589845:JGI589851 JFP589853:JGI589853 JFP655381:JGI655387 JFP655389:JGI655389 JFP720917:JGI720923 JFP720925:JGI720925 JFP786453:JGI786459 JFP786461:JGI786461 JFP851989:JGI851995 JFP851997:JGI851997 JFP917525:JGI917531 JFP917533:JGI917533 JFP983061:JGI983067 JFP983069:JGI983069 JPL13:JQE19 JPL21:JQE21 JPL65557:JQE65563 JPL65565:JQE65565 JPL131093:JQE131099 JPL131101:JQE131101 JPL196629:JQE196635 JPL196637:JQE196637 JPL262165:JQE262171 JPL262173:JQE262173 JPL327701:JQE327707 JPL327709:JQE327709 JPL393237:JQE393243 JPL393245:JQE393245 JPL458773:JQE458779 JPL458781:JQE458781 JPL524309:JQE524315 JPL524317:JQE524317 JPL589845:JQE589851 JPL589853:JQE589853 JPL655381:JQE655387 JPL655389:JQE655389 JPL720917:JQE720923 JPL720925:JQE720925 JPL786453:JQE786459 JPL786461:JQE786461 JPL851989:JQE851995 JPL851997:JQE851997 JPL917525:JQE917531 JPL917533:JQE917533 JPL983061:JQE983067 JPL983069:JQE983069 JZH13:KAA19 JZH21:KAA21 JZH65557:KAA65563 JZH65565:KAA65565 JZH131093:KAA131099 JZH131101:KAA131101 JZH196629:KAA196635 JZH196637:KAA196637 JZH262165:KAA262171 JZH262173:KAA262173 JZH327701:KAA327707 JZH327709:KAA327709 JZH393237:KAA393243 JZH393245:KAA393245 JZH458773:KAA458779 JZH458781:KAA458781 JZH524309:KAA524315 JZH524317:KAA524317 JZH589845:KAA589851 JZH589853:KAA589853 JZH655381:KAA655387 JZH655389:KAA655389 JZH720917:KAA720923 JZH720925:KAA720925 JZH786453:KAA786459 JZH786461:KAA786461 JZH851989:KAA851995 JZH851997:KAA851997 JZH917525:KAA917531 JZH917533:KAA917533 JZH983061:KAA983067 JZH983069:KAA983069 KJD13:KJW19 KJD21:KJW21 KJD65557:KJW65563 KJD65565:KJW65565 KJD131093:KJW131099 KJD131101:KJW131101 KJD196629:KJW196635 KJD196637:KJW196637 KJD262165:KJW262171 KJD262173:KJW262173 KJD327701:KJW327707 KJD327709:KJW327709 KJD393237:KJW393243 KJD393245:KJW393245 KJD458773:KJW458779 KJD458781:KJW458781 KJD524309:KJW524315 KJD524317:KJW524317 KJD589845:KJW589851 KJD589853:KJW589853 KJD655381:KJW655387 KJD655389:KJW655389 KJD720917:KJW720923 KJD720925:KJW720925 KJD786453:KJW786459 KJD786461:KJW786461 KJD851989:KJW851995 KJD851997:KJW851997 KJD917525:KJW917531 KJD917533:KJW917533 KJD983061:KJW983067 KJD983069:KJW983069 KSZ13:KTS19 KSZ21:KTS21 KSZ65557:KTS65563 KSZ65565:KTS65565 KSZ131093:KTS131099 KSZ131101:KTS131101 KSZ196629:KTS196635 KSZ196637:KTS196637 KSZ262165:KTS262171 KSZ262173:KTS262173 KSZ327701:KTS327707 KSZ327709:KTS327709 KSZ393237:KTS393243 KSZ393245:KTS393245 KSZ458773:KTS458779 KSZ458781:KTS458781 KSZ524309:KTS524315 KSZ524317:KTS524317 KSZ589845:KTS589851 KSZ589853:KTS589853 KSZ655381:KTS655387 KSZ655389:KTS655389 KSZ720917:KTS720923 KSZ720925:KTS720925 KSZ786453:KTS786459 KSZ786461:KTS786461 KSZ851989:KTS851995 KSZ851997:KTS851997 KSZ917525:KTS917531 KSZ917533:KTS917533 KSZ983061:KTS983067 KSZ983069:KTS983069 LCV13:LDO19 LCV21:LDO21 LCV65557:LDO65563 LCV65565:LDO65565 LCV131093:LDO131099 LCV131101:LDO131101 LCV196629:LDO196635 LCV196637:LDO196637 LCV262165:LDO262171 LCV262173:LDO262173 LCV327701:LDO327707 LCV327709:LDO327709 LCV393237:LDO393243 LCV393245:LDO393245 LCV458773:LDO458779 LCV458781:LDO458781 LCV524309:LDO524315 LCV524317:LDO524317 LCV589845:LDO589851 LCV589853:LDO589853 LCV655381:LDO655387 LCV655389:LDO655389 LCV720917:LDO720923 LCV720925:LDO720925 LCV786453:LDO786459 LCV786461:LDO786461 LCV851989:LDO851995 LCV851997:LDO851997 LCV917525:LDO917531 LCV917533:LDO917533 LCV983061:LDO983067 LCV983069:LDO983069 LMR13:LNK19 LMR21:LNK21 LMR65557:LNK65563 LMR65565:LNK65565 LMR131093:LNK131099 LMR131101:LNK131101 LMR196629:LNK196635 LMR196637:LNK196637 LMR262165:LNK262171 LMR262173:LNK262173 LMR327701:LNK327707 LMR327709:LNK327709 LMR393237:LNK393243 LMR393245:LNK393245 LMR458773:LNK458779 LMR458781:LNK458781 LMR524309:LNK524315 LMR524317:LNK524317 LMR589845:LNK589851 LMR589853:LNK589853 LMR655381:LNK655387 LMR655389:LNK655389 LMR720917:LNK720923 LMR720925:LNK720925 LMR786453:LNK786459 LMR786461:LNK786461 LMR851989:LNK851995 LMR851997:LNK851997 LMR917525:LNK917531 LMR917533:LNK917533 LMR983061:LNK983067 LMR983069:LNK983069 LWN13:LXG19 LWN21:LXG21 LWN65557:LXG65563 LWN65565:LXG65565 LWN131093:LXG131099 LWN131101:LXG131101 LWN196629:LXG196635 LWN196637:LXG196637 LWN262165:LXG262171 LWN262173:LXG262173 LWN327701:LXG327707 LWN327709:LXG327709 LWN393237:LXG393243 LWN393245:LXG393245 LWN458773:LXG458779 LWN458781:LXG458781 LWN524309:LXG524315 LWN524317:LXG524317 LWN589845:LXG589851 LWN589853:LXG589853 LWN655381:LXG655387 LWN655389:LXG655389 LWN720917:LXG720923 LWN720925:LXG720925 LWN786453:LXG786459 LWN786461:LXG786461 LWN851989:LXG851995 LWN851997:LXG851997 LWN917525:LXG917531 LWN917533:LXG917533 LWN983061:LXG983067 LWN983069:LXG983069 MGJ13:MHC19 MGJ21:MHC21 MGJ65557:MHC65563 MGJ65565:MHC65565 MGJ131093:MHC131099 MGJ131101:MHC131101 MGJ196629:MHC196635 MGJ196637:MHC196637 MGJ262165:MHC262171 MGJ262173:MHC262173 MGJ327701:MHC327707 MGJ327709:MHC327709 MGJ393237:MHC393243 MGJ393245:MHC393245 MGJ458773:MHC458779 MGJ458781:MHC458781 MGJ524309:MHC524315 MGJ524317:MHC524317 MGJ589845:MHC589851 MGJ589853:MHC589853 MGJ655381:MHC655387 MGJ655389:MHC655389 MGJ720917:MHC720923 MGJ720925:MHC720925 MGJ786453:MHC786459 MGJ786461:MHC786461 MGJ851989:MHC851995 MGJ851997:MHC851997 MGJ917525:MHC917531 MGJ917533:MHC917533 MGJ983061:MHC983067 MGJ983069:MHC983069 MQF13:MQY19 MQF21:MQY21 MQF65557:MQY65563 MQF65565:MQY65565 MQF131093:MQY131099 MQF131101:MQY131101 MQF196629:MQY196635 MQF196637:MQY196637 MQF262165:MQY262171 MQF262173:MQY262173 MQF327701:MQY327707 MQF327709:MQY327709 MQF393237:MQY393243 MQF393245:MQY393245 MQF458773:MQY458779 MQF458781:MQY458781 MQF524309:MQY524315 MQF524317:MQY524317 MQF589845:MQY589851 MQF589853:MQY589853 MQF655381:MQY655387 MQF655389:MQY655389 MQF720917:MQY720923 MQF720925:MQY720925 MQF786453:MQY786459 MQF786461:MQY786461 MQF851989:MQY851995 MQF851997:MQY851997 MQF917525:MQY917531 MQF917533:MQY917533 MQF983061:MQY983067 MQF983069:MQY983069 NAB13:NAU19 NAB21:NAU21 NAB65557:NAU65563 NAB65565:NAU65565 NAB131093:NAU131099 NAB131101:NAU131101 NAB196629:NAU196635 NAB196637:NAU196637 NAB262165:NAU262171 NAB262173:NAU262173 NAB327701:NAU327707 NAB327709:NAU327709 NAB393237:NAU393243 NAB393245:NAU393245 NAB458773:NAU458779 NAB458781:NAU458781 NAB524309:NAU524315 NAB524317:NAU524317 NAB589845:NAU589851 NAB589853:NAU589853 NAB655381:NAU655387 NAB655389:NAU655389 NAB720917:NAU720923 NAB720925:NAU720925 NAB786453:NAU786459 NAB786461:NAU786461 NAB851989:NAU851995 NAB851997:NAU851997 NAB917525:NAU917531 NAB917533:NAU917533 NAB983061:NAU983067 NAB983069:NAU983069 NJX13:NKQ19 NJX21:NKQ21 NJX65557:NKQ65563 NJX65565:NKQ65565 NJX131093:NKQ131099 NJX131101:NKQ131101 NJX196629:NKQ196635 NJX196637:NKQ196637 NJX262165:NKQ262171 NJX262173:NKQ262173 NJX327701:NKQ327707 NJX327709:NKQ327709 NJX393237:NKQ393243 NJX393245:NKQ393245 NJX458773:NKQ458779 NJX458781:NKQ458781 NJX524309:NKQ524315 NJX524317:NKQ524317 NJX589845:NKQ589851 NJX589853:NKQ589853 NJX655381:NKQ655387 NJX655389:NKQ655389 NJX720917:NKQ720923 NJX720925:NKQ720925 NJX786453:NKQ786459 NJX786461:NKQ786461 NJX851989:NKQ851995 NJX851997:NKQ851997 NJX917525:NKQ917531 NJX917533:NKQ917533 NJX983061:NKQ983067 NJX983069:NKQ983069 NTT13:NUM19 NTT21:NUM21 NTT65557:NUM65563 NTT65565:NUM65565 NTT131093:NUM131099 NTT131101:NUM131101 NTT196629:NUM196635 NTT196637:NUM196637 NTT262165:NUM262171 NTT262173:NUM262173 NTT327701:NUM327707 NTT327709:NUM327709 NTT393237:NUM393243 NTT393245:NUM393245 NTT458773:NUM458779 NTT458781:NUM458781 NTT524309:NUM524315 NTT524317:NUM524317 NTT589845:NUM589851 NTT589853:NUM589853 NTT655381:NUM655387 NTT655389:NUM655389 NTT720917:NUM720923 NTT720925:NUM720925 NTT786453:NUM786459 NTT786461:NUM786461 NTT851989:NUM851995 NTT851997:NUM851997 NTT917525:NUM917531 NTT917533:NUM917533 NTT983061:NUM983067 NTT983069:NUM983069 ODP13:OEI19 ODP21:OEI21 ODP65557:OEI65563 ODP65565:OEI65565 ODP131093:OEI131099 ODP131101:OEI131101 ODP196629:OEI196635 ODP196637:OEI196637 ODP262165:OEI262171 ODP262173:OEI262173 ODP327701:OEI327707 ODP327709:OEI327709 ODP393237:OEI393243 ODP393245:OEI393245 ODP458773:OEI458779 ODP458781:OEI458781 ODP524309:OEI524315 ODP524317:OEI524317 ODP589845:OEI589851 ODP589853:OEI589853 ODP655381:OEI655387 ODP655389:OEI655389 ODP720917:OEI720923 ODP720925:OEI720925 ODP786453:OEI786459 ODP786461:OEI786461 ODP851989:OEI851995 ODP851997:OEI851997 ODP917525:OEI917531 ODP917533:OEI917533 ODP983061:OEI983067 ODP983069:OEI983069 ONL13:OOE19 ONL21:OOE21 ONL65557:OOE65563 ONL65565:OOE65565 ONL131093:OOE131099 ONL131101:OOE131101 ONL196629:OOE196635 ONL196637:OOE196637 ONL262165:OOE262171 ONL262173:OOE262173 ONL327701:OOE327707 ONL327709:OOE327709 ONL393237:OOE393243 ONL393245:OOE393245 ONL458773:OOE458779 ONL458781:OOE458781 ONL524309:OOE524315 ONL524317:OOE524317 ONL589845:OOE589851 ONL589853:OOE589853 ONL655381:OOE655387 ONL655389:OOE655389 ONL720917:OOE720923 ONL720925:OOE720925 ONL786453:OOE786459 ONL786461:OOE786461 ONL851989:OOE851995 ONL851997:OOE851997 ONL917525:OOE917531 ONL917533:OOE917533 ONL983061:OOE983067 ONL983069:OOE983069 OXH13:OYA19 OXH21:OYA21 OXH65557:OYA65563 OXH65565:OYA65565 OXH131093:OYA131099 OXH131101:OYA131101 OXH196629:OYA196635 OXH196637:OYA196637 OXH262165:OYA262171 OXH262173:OYA262173 OXH327701:OYA327707 OXH327709:OYA327709 OXH393237:OYA393243 OXH393245:OYA393245 OXH458773:OYA458779 OXH458781:OYA458781 OXH524309:OYA524315 OXH524317:OYA524317 OXH589845:OYA589851 OXH589853:OYA589853 OXH655381:OYA655387 OXH655389:OYA655389 OXH720917:OYA720923 OXH720925:OYA720925 OXH786453:OYA786459 OXH786461:OYA786461 OXH851989:OYA851995 OXH851997:OYA851997 OXH917525:OYA917531 OXH917533:OYA917533 OXH983061:OYA983067 OXH983069:OYA983069 PHD13:PHW19 PHD21:PHW21 PHD65557:PHW65563 PHD65565:PHW65565 PHD131093:PHW131099 PHD131101:PHW131101 PHD196629:PHW196635 PHD196637:PHW196637 PHD262165:PHW262171 PHD262173:PHW262173 PHD327701:PHW327707 PHD327709:PHW327709 PHD393237:PHW393243 PHD393245:PHW393245 PHD458773:PHW458779 PHD458781:PHW458781 PHD524309:PHW524315 PHD524317:PHW524317 PHD589845:PHW589851 PHD589853:PHW589853 PHD655381:PHW655387 PHD655389:PHW655389 PHD720917:PHW720923 PHD720925:PHW720925 PHD786453:PHW786459 PHD786461:PHW786461 PHD851989:PHW851995 PHD851997:PHW851997 PHD917525:PHW917531 PHD917533:PHW917533 PHD983061:PHW983067 PHD983069:PHW983069 PQZ13:PRS19 PQZ21:PRS21 PQZ65557:PRS65563 PQZ65565:PRS65565 PQZ131093:PRS131099 PQZ131101:PRS131101 PQZ196629:PRS196635 PQZ196637:PRS196637 PQZ262165:PRS262171 PQZ262173:PRS262173 PQZ327701:PRS327707 PQZ327709:PRS327709 PQZ393237:PRS393243 PQZ393245:PRS393245 PQZ458773:PRS458779 PQZ458781:PRS458781 PQZ524309:PRS524315 PQZ524317:PRS524317 PQZ589845:PRS589851 PQZ589853:PRS589853 PQZ655381:PRS655387 PQZ655389:PRS655389 PQZ720917:PRS720923 PQZ720925:PRS720925 PQZ786453:PRS786459 PQZ786461:PRS786461 PQZ851989:PRS851995 PQZ851997:PRS851997 PQZ917525:PRS917531 PQZ917533:PRS917533 PQZ983061:PRS983067 PQZ983069:PRS983069 QAV13:QBO19 QAV21:QBO21 QAV65557:QBO65563 QAV65565:QBO65565 QAV131093:QBO131099 QAV131101:QBO131101 QAV196629:QBO196635 QAV196637:QBO196637 QAV262165:QBO262171 QAV262173:QBO262173 QAV327701:QBO327707 QAV327709:QBO327709 QAV393237:QBO393243 QAV393245:QBO393245 QAV458773:QBO458779 QAV458781:QBO458781 QAV524309:QBO524315 QAV524317:QBO524317 QAV589845:QBO589851 QAV589853:QBO589853 QAV655381:QBO655387 QAV655389:QBO655389 QAV720917:QBO720923 QAV720925:QBO720925 QAV786453:QBO786459 QAV786461:QBO786461 QAV851989:QBO851995 QAV851997:QBO851997 QAV917525:QBO917531 QAV917533:QBO917533 QAV983061:QBO983067 QAV983069:QBO983069 QKR13:QLK19 QKR21:QLK21 QKR65557:QLK65563 QKR65565:QLK65565 QKR131093:QLK131099 QKR131101:QLK131101 QKR196629:QLK196635 QKR196637:QLK196637 QKR262165:QLK262171 QKR262173:QLK262173 QKR327701:QLK327707 QKR327709:QLK327709 QKR393237:QLK393243 QKR393245:QLK393245 QKR458773:QLK458779 QKR458781:QLK458781 QKR524309:QLK524315 QKR524317:QLK524317 QKR589845:QLK589851 QKR589853:QLK589853 QKR655381:QLK655387 QKR655389:QLK655389 QKR720917:QLK720923 QKR720925:QLK720925 QKR786453:QLK786459 QKR786461:QLK786461 QKR851989:QLK851995 QKR851997:QLK851997 QKR917525:QLK917531 QKR917533:QLK917533 QKR983061:QLK983067 QKR983069:QLK983069 QUN13:QVG19 QUN21:QVG21 QUN65557:QVG65563 QUN65565:QVG65565 QUN131093:QVG131099 QUN131101:QVG131101 QUN196629:QVG196635 QUN196637:QVG196637 QUN262165:QVG262171 QUN262173:QVG262173 QUN327701:QVG327707 QUN327709:QVG327709 QUN393237:QVG393243 QUN393245:QVG393245 QUN458773:QVG458779 QUN458781:QVG458781 QUN524309:QVG524315 QUN524317:QVG524317 QUN589845:QVG589851 QUN589853:QVG589853 QUN655381:QVG655387 QUN655389:QVG655389 QUN720917:QVG720923 QUN720925:QVG720925 QUN786453:QVG786459 QUN786461:QVG786461 QUN851989:QVG851995 QUN851997:QVG851997 QUN917525:QVG917531 QUN917533:QVG917533 QUN983061:QVG983067 QUN983069:QVG983069 REJ13:RFC19 REJ21:RFC21 REJ65557:RFC65563 REJ65565:RFC65565 REJ131093:RFC131099 REJ131101:RFC131101 REJ196629:RFC196635 REJ196637:RFC196637 REJ262165:RFC262171 REJ262173:RFC262173 REJ327701:RFC327707 REJ327709:RFC327709 REJ393237:RFC393243 REJ393245:RFC393245 REJ458773:RFC458779 REJ458781:RFC458781 REJ524309:RFC524315 REJ524317:RFC524317 REJ589845:RFC589851 REJ589853:RFC589853 REJ655381:RFC655387 REJ655389:RFC655389 REJ720917:RFC720923 REJ720925:RFC720925 REJ786453:RFC786459 REJ786461:RFC786461 REJ851989:RFC851995 REJ851997:RFC851997 REJ917525:RFC917531 REJ917533:RFC917533 REJ983061:RFC983067 REJ983069:RFC983069 ROF13:ROY19 ROF21:ROY21 ROF65557:ROY65563 ROF65565:ROY65565 ROF131093:ROY131099 ROF131101:ROY131101 ROF196629:ROY196635 ROF196637:ROY196637 ROF262165:ROY262171 ROF262173:ROY262173 ROF327701:ROY327707 ROF327709:ROY327709 ROF393237:ROY393243 ROF393245:ROY393245 ROF458773:ROY458779 ROF458781:ROY458781 ROF524309:ROY524315 ROF524317:ROY524317 ROF589845:ROY589851 ROF589853:ROY589853 ROF655381:ROY655387 ROF655389:ROY655389 ROF720917:ROY720923 ROF720925:ROY720925 ROF786453:ROY786459 ROF786461:ROY786461 ROF851989:ROY851995 ROF851997:ROY851997 ROF917525:ROY917531 ROF917533:ROY917533 ROF983061:ROY983067 ROF983069:ROY983069 RYB13:RYU19 RYB21:RYU21 RYB65557:RYU65563 RYB65565:RYU65565 RYB131093:RYU131099 RYB131101:RYU131101 RYB196629:RYU196635 RYB196637:RYU196637 RYB262165:RYU262171 RYB262173:RYU262173 RYB327701:RYU327707 RYB327709:RYU327709 RYB393237:RYU393243 RYB393245:RYU393245 RYB458773:RYU458779 RYB458781:RYU458781 RYB524309:RYU524315 RYB524317:RYU524317 RYB589845:RYU589851 RYB589853:RYU589853 RYB655381:RYU655387 RYB655389:RYU655389 RYB720917:RYU720923 RYB720925:RYU720925 RYB786453:RYU786459 RYB786461:RYU786461 RYB851989:RYU851995 RYB851997:RYU851997 RYB917525:RYU917531 RYB917533:RYU917533 RYB983061:RYU983067 RYB983069:RYU983069 SHX13:SIQ19 SHX21:SIQ21 SHX65557:SIQ65563 SHX65565:SIQ65565 SHX131093:SIQ131099 SHX131101:SIQ131101 SHX196629:SIQ196635 SHX196637:SIQ196637 SHX262165:SIQ262171 SHX262173:SIQ262173 SHX327701:SIQ327707 SHX327709:SIQ327709 SHX393237:SIQ393243 SHX393245:SIQ393245 SHX458773:SIQ458779 SHX458781:SIQ458781 SHX524309:SIQ524315 SHX524317:SIQ524317 SHX589845:SIQ589851 SHX589853:SIQ589853 SHX655381:SIQ655387 SHX655389:SIQ655389 SHX720917:SIQ720923 SHX720925:SIQ720925 SHX786453:SIQ786459 SHX786461:SIQ786461 SHX851989:SIQ851995 SHX851997:SIQ851997 SHX917525:SIQ917531 SHX917533:SIQ917533 SHX983061:SIQ983067 SHX983069:SIQ983069 SRT13:SSM19 SRT21:SSM21 SRT65557:SSM65563 SRT65565:SSM65565 SRT131093:SSM131099 SRT131101:SSM131101 SRT196629:SSM196635 SRT196637:SSM196637 SRT262165:SSM262171 SRT262173:SSM262173 SRT327701:SSM327707 SRT327709:SSM327709 SRT393237:SSM393243 SRT393245:SSM393245 SRT458773:SSM458779 SRT458781:SSM458781 SRT524309:SSM524315 SRT524317:SSM524317 SRT589845:SSM589851 SRT589853:SSM589853 SRT655381:SSM655387 SRT655389:SSM655389 SRT720917:SSM720923 SRT720925:SSM720925 SRT786453:SSM786459 SRT786461:SSM786461 SRT851989:SSM851995 SRT851997:SSM851997 SRT917525:SSM917531 SRT917533:SSM917533 SRT983061:SSM983067 SRT983069:SSM983069 TBP13:TCI19 TBP21:TCI21 TBP65557:TCI65563 TBP65565:TCI65565 TBP131093:TCI131099 TBP131101:TCI131101 TBP196629:TCI196635 TBP196637:TCI196637 TBP262165:TCI262171 TBP262173:TCI262173 TBP327701:TCI327707 TBP327709:TCI327709 TBP393237:TCI393243 TBP393245:TCI393245 TBP458773:TCI458779 TBP458781:TCI458781 TBP524309:TCI524315 TBP524317:TCI524317 TBP589845:TCI589851 TBP589853:TCI589853 TBP655381:TCI655387 TBP655389:TCI655389 TBP720917:TCI720923 TBP720925:TCI720925 TBP786453:TCI786459 TBP786461:TCI786461 TBP851989:TCI851995 TBP851997:TCI851997 TBP917525:TCI917531 TBP917533:TCI917533 TBP983061:TCI983067 TBP983069:TCI983069 TLL13:TME19 TLL21:TME21 TLL65557:TME65563 TLL65565:TME65565 TLL131093:TME131099 TLL131101:TME131101 TLL196629:TME196635 TLL196637:TME196637 TLL262165:TME262171 TLL262173:TME262173 TLL327701:TME327707 TLL327709:TME327709 TLL393237:TME393243 TLL393245:TME393245 TLL458773:TME458779 TLL458781:TME458781 TLL524309:TME524315 TLL524317:TME524317 TLL589845:TME589851 TLL589853:TME589853 TLL655381:TME655387 TLL655389:TME655389 TLL720917:TME720923 TLL720925:TME720925 TLL786453:TME786459 TLL786461:TME786461 TLL851989:TME851995 TLL851997:TME851997 TLL917525:TME917531 TLL917533:TME917533 TLL983061:TME983067 TLL983069:TME983069 TVH13:TWA19 TVH21:TWA21 TVH65557:TWA65563 TVH65565:TWA65565 TVH131093:TWA131099 TVH131101:TWA131101 TVH196629:TWA196635 TVH196637:TWA196637 TVH262165:TWA262171 TVH262173:TWA262173 TVH327701:TWA327707 TVH327709:TWA327709 TVH393237:TWA393243 TVH393245:TWA393245 TVH458773:TWA458779 TVH458781:TWA458781 TVH524309:TWA524315 TVH524317:TWA524317 TVH589845:TWA589851 TVH589853:TWA589853 TVH655381:TWA655387 TVH655389:TWA655389 TVH720917:TWA720923 TVH720925:TWA720925 TVH786453:TWA786459 TVH786461:TWA786461 TVH851989:TWA851995 TVH851997:TWA851997 TVH917525:TWA917531 TVH917533:TWA917533 TVH983061:TWA983067 TVH983069:TWA983069 UFD13:UFW19 UFD21:UFW21 UFD65557:UFW65563 UFD65565:UFW65565 UFD131093:UFW131099 UFD131101:UFW131101 UFD196629:UFW196635 UFD196637:UFW196637 UFD262165:UFW262171 UFD262173:UFW262173 UFD327701:UFW327707 UFD327709:UFW327709 UFD393237:UFW393243 UFD393245:UFW393245 UFD458773:UFW458779 UFD458781:UFW458781 UFD524309:UFW524315 UFD524317:UFW524317 UFD589845:UFW589851 UFD589853:UFW589853 UFD655381:UFW655387 UFD655389:UFW655389 UFD720917:UFW720923 UFD720925:UFW720925 UFD786453:UFW786459 UFD786461:UFW786461 UFD851989:UFW851995 UFD851997:UFW851997 UFD917525:UFW917531 UFD917533:UFW917533 UFD983061:UFW983067 UFD983069:UFW983069 UOZ13:UPS19 UOZ21:UPS21 UOZ65557:UPS65563 UOZ65565:UPS65565 UOZ131093:UPS131099 UOZ131101:UPS131101 UOZ196629:UPS196635 UOZ196637:UPS196637 UOZ262165:UPS262171 UOZ262173:UPS262173 UOZ327701:UPS327707 UOZ327709:UPS327709 UOZ393237:UPS393243 UOZ393245:UPS393245 UOZ458773:UPS458779 UOZ458781:UPS458781 UOZ524309:UPS524315 UOZ524317:UPS524317 UOZ589845:UPS589851 UOZ589853:UPS589853 UOZ655381:UPS655387 UOZ655389:UPS655389 UOZ720917:UPS720923 UOZ720925:UPS720925 UOZ786453:UPS786459 UOZ786461:UPS786461 UOZ851989:UPS851995 UOZ851997:UPS851997 UOZ917525:UPS917531 UOZ917533:UPS917533 UOZ983061:UPS983067 UOZ983069:UPS983069 UYV13:UZO19 UYV21:UZO21 UYV65557:UZO65563 UYV65565:UZO65565 UYV131093:UZO131099 UYV131101:UZO131101 UYV196629:UZO196635 UYV196637:UZO196637 UYV262165:UZO262171 UYV262173:UZO262173 UYV327701:UZO327707 UYV327709:UZO327709 UYV393237:UZO393243 UYV393245:UZO393245 UYV458773:UZO458779 UYV458781:UZO458781 UYV524309:UZO524315 UYV524317:UZO524317 UYV589845:UZO589851 UYV589853:UZO589853 UYV655381:UZO655387 UYV655389:UZO655389 UYV720917:UZO720923 UYV720925:UZO720925 UYV786453:UZO786459 UYV786461:UZO786461 UYV851989:UZO851995 UYV851997:UZO851997 UYV917525:UZO917531 UYV917533:UZO917533 UYV983061:UZO983067 UYV983069:UZO983069 VIR13:VJK19 VIR21:VJK21 VIR65557:VJK65563 VIR65565:VJK65565 VIR131093:VJK131099 VIR131101:VJK131101 VIR196629:VJK196635 VIR196637:VJK196637 VIR262165:VJK262171 VIR262173:VJK262173 VIR327701:VJK327707 VIR327709:VJK327709 VIR393237:VJK393243 VIR393245:VJK393245 VIR458773:VJK458779 VIR458781:VJK458781 VIR524309:VJK524315 VIR524317:VJK524317 VIR589845:VJK589851 VIR589853:VJK589853 VIR655381:VJK655387 VIR655389:VJK655389 VIR720917:VJK720923 VIR720925:VJK720925 VIR786453:VJK786459 VIR786461:VJK786461 VIR851989:VJK851995 VIR851997:VJK851997 VIR917525:VJK917531 VIR917533:VJK917533 VIR983061:VJK983067 VIR983069:VJK983069 VSN13:VTG19 VSN21:VTG21 VSN65557:VTG65563 VSN65565:VTG65565 VSN131093:VTG131099 VSN131101:VTG131101 VSN196629:VTG196635 VSN196637:VTG196637 VSN262165:VTG262171 VSN262173:VTG262173 VSN327701:VTG327707 VSN327709:VTG327709 VSN393237:VTG393243 VSN393245:VTG393245 VSN458773:VTG458779 VSN458781:VTG458781 VSN524309:VTG524315 VSN524317:VTG524317 VSN589845:VTG589851 VSN589853:VTG589853 VSN655381:VTG655387 VSN655389:VTG655389 VSN720917:VTG720923 VSN720925:VTG720925 VSN786453:VTG786459 VSN786461:VTG786461 VSN851989:VTG851995 VSN851997:VTG851997 VSN917525:VTG917531 VSN917533:VTG917533 VSN983061:VTG983067 VSN983069:VTG983069 WCJ13:WDC19 WCJ21:WDC21 WCJ65557:WDC65563 WCJ65565:WDC65565 WCJ131093:WDC131099 WCJ131101:WDC131101 WCJ196629:WDC196635 WCJ196637:WDC196637 WCJ262165:WDC262171 WCJ262173:WDC262173 WCJ327701:WDC327707 WCJ327709:WDC327709 WCJ393237:WDC393243 WCJ393245:WDC393245 WCJ458773:WDC458779 WCJ458781:WDC458781 WCJ524309:WDC524315 WCJ524317:WDC524317 WCJ589845:WDC589851 WCJ589853:WDC589853 WCJ655381:WDC655387 WCJ655389:WDC655389 WCJ720917:WDC720923 WCJ720925:WDC720925 WCJ786453:WDC786459 WCJ786461:WDC786461 WCJ851989:WDC851995 WCJ851997:WDC851997 WCJ917525:WDC917531 WCJ917533:WDC917533 WCJ983061:WDC983067 WCJ983069:WDC983069 WMF13:WMY19 WMF21:WMY21 WMF65557:WMY65563 WMF65565:WMY65565 WMF131093:WMY131099 WMF131101:WMY131101 WMF196629:WMY196635 WMF196637:WMY196637 WMF262165:WMY262171 WMF262173:WMY262173 WMF327701:WMY327707 WMF327709:WMY327709 WMF393237:WMY393243 WMF393245:WMY393245 WMF458773:WMY458779 WMF458781:WMY458781 WMF524309:WMY524315 WMF524317:WMY524317 WMF589845:WMY589851 WMF589853:WMY589853 WMF655381:WMY655387 WMF655389:WMY655389 WMF720917:WMY720923 WMF720925:WMY720925 WMF786453:WMY786459 WMF786461:WMY786461 WMF851989:WMY851995 WMF851997:WMY851997 WMF917525:WMY917531 WMF917533:WMY917533 WMF983061:WMY983067 WMF983069:WMY983069 WWB13:WWU19 WWB21:WWU21 WWB65557:WWU65563 WWB65565:WWU65565 WWB131093:WWU131099 WWB131101:WWU131101 WWB196629:WWU196635 WWB196637:WWU196637 WWB262165:WWU262171 WWB262173:WWU262173 WWB327701:WWU327707 WWB327709:WWU327709 WWB393237:WWU393243 WWB393245:WWU393245 WWB458773:WWU458779 WWB458781:WWU458781 WWB524309:WWU524315 WWB524317:WWU524317 WWB589845:WWU589851 WWB589853:WWU589853 WWB655381:WWU655387 WWB655389:WWU655389 WWB720917:WWU720923 WWB720925:WWU720925 WWB786453:WWU786459 WWB786461:WWU786461 WWB851989:WWU851995 WWB851997:WWU851997 WWB917525:WWU917531 WWB917533:WWU917533 WWB983061:WWU983067 WWB983069:WWU983069"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700-000004000000}">
      <formula1>0.7</formula1>
      <formula2>1.25</formula2>
    </dataValidation>
    <dataValidation type="whole" operator="greaterThanOrEqual" allowBlank="1" showInputMessage="1" showErrorMessage="1" error="Voluntary Exclusions of Eligible Basis must be a positive number." sqref="T21:AC21" xr:uid="{00000000-0002-0000-0700-000005000000}">
      <formula1>0</formula1>
    </dataValidation>
  </dataValidations>
  <pageMargins left="0.5" right="0.5" top="1" bottom="1" header="0.5" footer="0.5"/>
  <pageSetup scale="91" firstPageNumber="44" fitToHeight="3" orientation="portrait" useFirstPageNumber="1" r:id="rId1"/>
  <headerFooter alignWithMargins="0">
    <oddFooter>&amp;C&amp;P&amp;R&amp;8 &amp;A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816" workbookViewId="0">
      <selection activeCell="E126" sqref="E126:H126"/>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82" width="9.109375" style="14" hidden="1" customWidth="1"/>
    <col min="83" max="16384" width="9.109375" style="14" hidden="1"/>
  </cols>
  <sheetData>
    <row r="1" spans="1:41" ht="15.75" customHeight="1">
      <c r="A1" s="2055" t="s">
        <v>2185</v>
      </c>
      <c r="B1" s="1417"/>
      <c r="C1" s="1417"/>
      <c r="D1" s="1417"/>
      <c r="E1" s="1417"/>
      <c r="F1" s="1417"/>
      <c r="G1" s="1417"/>
      <c r="H1" s="1417"/>
      <c r="I1" s="1417"/>
      <c r="J1" s="1417"/>
      <c r="K1" s="1417"/>
      <c r="L1" s="1417"/>
      <c r="M1" s="1417"/>
      <c r="N1" s="1417"/>
      <c r="O1" s="1417"/>
      <c r="P1" s="1417"/>
      <c r="Q1" s="1417"/>
      <c r="R1" s="1417"/>
      <c r="S1" s="1417"/>
      <c r="T1" s="1417"/>
      <c r="U1" s="1417"/>
      <c r="V1" s="1417"/>
      <c r="W1" s="1417"/>
      <c r="X1" s="1417"/>
      <c r="Y1" s="1417"/>
      <c r="Z1" s="1417"/>
      <c r="AA1" s="1417"/>
      <c r="AB1" s="1417"/>
      <c r="AC1" s="1417"/>
      <c r="AD1" s="1417"/>
      <c r="AE1" s="1417"/>
      <c r="AF1" s="1417"/>
      <c r="AG1" s="1417"/>
      <c r="AH1" s="1417"/>
      <c r="AI1" s="1417"/>
      <c r="AJ1" s="1417"/>
      <c r="AK1" s="1417"/>
      <c r="AL1" s="1417"/>
      <c r="AM1" s="1417"/>
    </row>
    <row r="2" spans="1:41" s="536" customFormat="1" ht="12.75" customHeight="1" thickBot="1">
      <c r="A2" s="1305"/>
      <c r="B2" s="1305"/>
      <c r="C2" s="1305"/>
      <c r="D2" s="1305"/>
      <c r="E2" s="1305"/>
      <c r="F2" s="1305"/>
      <c r="G2" s="1305"/>
      <c r="H2" s="1305"/>
      <c r="I2" s="1305"/>
      <c r="J2" s="1305"/>
      <c r="K2" s="1305"/>
      <c r="L2" s="1305"/>
      <c r="M2" s="1305"/>
      <c r="N2" s="1305"/>
      <c r="O2" s="1305"/>
      <c r="P2" s="1305"/>
      <c r="Q2" s="1305"/>
      <c r="R2" s="1305"/>
      <c r="S2" s="1305"/>
      <c r="T2" s="1305"/>
      <c r="U2" s="1305"/>
      <c r="V2" s="1305"/>
      <c r="W2" s="1305"/>
      <c r="X2" s="1305"/>
      <c r="Y2" s="1305"/>
      <c r="Z2" s="1305"/>
      <c r="AA2" s="1305"/>
      <c r="AB2" s="1305"/>
      <c r="AC2" s="1305"/>
      <c r="AD2" s="1305"/>
      <c r="AE2" s="1305"/>
      <c r="AF2" s="1305"/>
      <c r="AG2" s="1305"/>
      <c r="AH2" s="1305"/>
      <c r="AI2" s="1305"/>
      <c r="AJ2" s="1305"/>
      <c r="AK2" s="1305"/>
      <c r="AL2" s="1305"/>
      <c r="AM2" s="1305"/>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2186</v>
      </c>
      <c r="B4" s="539" t="s">
        <v>2187</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2188</v>
      </c>
      <c r="B7" s="539" t="s">
        <v>2189</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011" t="s">
        <v>2190</v>
      </c>
      <c r="AF7" s="1987"/>
      <c r="AG7" s="1987"/>
      <c r="AH7" s="1987"/>
      <c r="AI7" s="1987"/>
      <c r="AJ7" s="1987"/>
      <c r="AK7" s="1987"/>
      <c r="AL7" s="540"/>
      <c r="AM7" s="540"/>
      <c r="AN7" s="535"/>
    </row>
    <row r="8" spans="1:41" s="536" customFormat="1" ht="12.75" customHeight="1">
      <c r="A8" s="538"/>
      <c r="B8" s="539" t="s">
        <v>2191</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2192</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t="s">
        <v>2193</v>
      </c>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1972" t="s">
        <v>969</v>
      </c>
      <c r="C12" s="1294"/>
      <c r="D12" s="540"/>
      <c r="E12" s="1979" t="s">
        <v>2194</v>
      </c>
      <c r="F12" s="1974"/>
      <c r="G12" s="1974"/>
      <c r="H12" s="1974"/>
      <c r="I12" s="1974"/>
      <c r="J12" s="1974"/>
      <c r="K12" s="1974"/>
      <c r="L12" s="1974"/>
      <c r="M12" s="1974"/>
      <c r="N12" s="1974"/>
      <c r="O12" s="1974"/>
      <c r="P12" s="1974"/>
      <c r="Q12" s="1974"/>
      <c r="R12" s="1974"/>
      <c r="S12" s="1974"/>
      <c r="T12" s="1974"/>
      <c r="U12" s="1974"/>
      <c r="V12" s="1974"/>
      <c r="W12" s="1974"/>
      <c r="X12" s="1974"/>
      <c r="Y12" s="1974"/>
      <c r="Z12" s="1974"/>
      <c r="AA12" s="1974"/>
      <c r="AB12" s="1974"/>
      <c r="AC12" s="1974"/>
      <c r="AD12" s="1974"/>
      <c r="AE12" s="1974"/>
      <c r="AF12" s="1974"/>
      <c r="AG12" s="1974"/>
      <c r="AH12" s="1974"/>
      <c r="AI12" s="1974"/>
      <c r="AJ12" s="1980"/>
      <c r="AK12" s="540"/>
      <c r="AL12" s="540"/>
      <c r="AM12" s="540"/>
      <c r="AN12" s="535"/>
      <c r="AO12" s="557"/>
    </row>
    <row r="13" spans="1:41" s="536" customFormat="1" ht="12.75" customHeight="1">
      <c r="A13" s="540"/>
      <c r="B13" t="s">
        <v>935</v>
      </c>
      <c r="D13" s="546"/>
      <c r="E13" s="1986"/>
      <c r="F13" s="1987"/>
      <c r="G13" s="1987"/>
      <c r="H13" s="1987"/>
      <c r="I13" s="1987"/>
      <c r="J13" s="1987"/>
      <c r="K13" s="1987"/>
      <c r="L13" s="1987"/>
      <c r="M13" s="1987"/>
      <c r="N13" s="1987"/>
      <c r="O13" s="1987"/>
      <c r="P13" s="1987"/>
      <c r="Q13" s="1987"/>
      <c r="R13" s="1987"/>
      <c r="S13" s="1987"/>
      <c r="T13" s="1987"/>
      <c r="U13" s="1987"/>
      <c r="V13" s="1987"/>
      <c r="W13" s="1987"/>
      <c r="X13" s="1987"/>
      <c r="Y13" s="1987"/>
      <c r="Z13" s="1987"/>
      <c r="AA13" s="1987"/>
      <c r="AB13" s="1987"/>
      <c r="AC13" s="1987"/>
      <c r="AD13" s="1987"/>
      <c r="AE13" s="1987"/>
      <c r="AF13" s="1987"/>
      <c r="AG13" s="1987"/>
      <c r="AH13" s="1987"/>
      <c r="AI13" s="1987"/>
      <c r="AJ13" s="1988"/>
      <c r="AK13" s="540"/>
      <c r="AL13" s="540"/>
      <c r="AM13" s="540"/>
      <c r="AN13" s="535"/>
      <c r="AO13" s="557"/>
    </row>
    <row r="14" spans="1:41" s="536" customFormat="1" ht="12.75" customHeight="1">
      <c r="A14" s="540"/>
      <c r="D14" s="540"/>
      <c r="E14" s="1981"/>
      <c r="F14" s="1982"/>
      <c r="G14" s="1982"/>
      <c r="H14" s="1982"/>
      <c r="I14" s="1982"/>
      <c r="J14" s="1982"/>
      <c r="K14" s="1982"/>
      <c r="L14" s="1982"/>
      <c r="M14" s="1982"/>
      <c r="N14" s="1982"/>
      <c r="O14" s="1982"/>
      <c r="P14" s="1982"/>
      <c r="Q14" s="1982"/>
      <c r="R14" s="1982"/>
      <c r="S14" s="1982"/>
      <c r="T14" s="1982"/>
      <c r="U14" s="1982"/>
      <c r="V14" s="1982"/>
      <c r="W14" s="1982"/>
      <c r="X14" s="1982"/>
      <c r="Y14" s="1982"/>
      <c r="Z14" s="1982"/>
      <c r="AA14" s="1982"/>
      <c r="AB14" s="1982"/>
      <c r="AC14" s="1982"/>
      <c r="AD14" s="1982"/>
      <c r="AE14" s="1982"/>
      <c r="AF14" s="1982"/>
      <c r="AG14" s="1982"/>
      <c r="AH14" s="1982"/>
      <c r="AI14" s="1982"/>
      <c r="AJ14" s="1983"/>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1972" t="s">
        <v>969</v>
      </c>
      <c r="C16" s="1294"/>
      <c r="D16" s="540"/>
      <c r="E16" s="1979" t="s">
        <v>2195</v>
      </c>
      <c r="F16" s="1974"/>
      <c r="G16" s="1974"/>
      <c r="H16" s="1974"/>
      <c r="I16" s="1974"/>
      <c r="J16" s="1974"/>
      <c r="K16" s="1974"/>
      <c r="L16" s="1974"/>
      <c r="M16" s="1974"/>
      <c r="N16" s="1974"/>
      <c r="O16" s="1974"/>
      <c r="P16" s="1974"/>
      <c r="Q16" s="1974"/>
      <c r="R16" s="1974"/>
      <c r="S16" s="1974"/>
      <c r="T16" s="1974"/>
      <c r="U16" s="1974"/>
      <c r="V16" s="1974"/>
      <c r="W16" s="1974"/>
      <c r="X16" s="1974"/>
      <c r="Y16" s="1974"/>
      <c r="Z16" s="1974"/>
      <c r="AA16" s="1974"/>
      <c r="AB16" s="1974"/>
      <c r="AC16" s="1974"/>
      <c r="AD16" s="1974"/>
      <c r="AE16" s="1974"/>
      <c r="AF16" s="1974"/>
      <c r="AG16" s="1974"/>
      <c r="AH16" s="1974"/>
      <c r="AI16" s="1974"/>
      <c r="AJ16" s="1980"/>
      <c r="AK16" s="540"/>
      <c r="AL16" s="540"/>
      <c r="AM16" s="540"/>
      <c r="AN16" s="535"/>
    </row>
    <row r="17" spans="1:50" s="536" customFormat="1" ht="12.75" customHeight="1">
      <c r="A17" s="540"/>
      <c r="B17" s="540"/>
      <c r="C17" s="540"/>
      <c r="D17" s="540"/>
      <c r="E17" s="1986"/>
      <c r="F17" s="1987"/>
      <c r="G17" s="1987"/>
      <c r="H17" s="1987"/>
      <c r="I17" s="1987"/>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8"/>
      <c r="AK17" s="540"/>
      <c r="AL17" s="540"/>
      <c r="AM17" s="540"/>
      <c r="AN17" s="535"/>
    </row>
    <row r="18" spans="1:50" s="536" customFormat="1" ht="12.75" customHeight="1">
      <c r="A18" s="540"/>
      <c r="B18" s="540"/>
      <c r="C18" s="1133"/>
      <c r="D18" s="540"/>
      <c r="E18" s="1981"/>
      <c r="F18" s="1982"/>
      <c r="G18" s="1982"/>
      <c r="H18" s="1982"/>
      <c r="I18" s="1982"/>
      <c r="J18" s="1982"/>
      <c r="K18" s="1982"/>
      <c r="L18" s="1982"/>
      <c r="M18" s="1982"/>
      <c r="N18" s="1982"/>
      <c r="O18" s="1982"/>
      <c r="P18" s="1982"/>
      <c r="Q18" s="1982"/>
      <c r="R18" s="1982"/>
      <c r="S18" s="1982"/>
      <c r="T18" s="1982"/>
      <c r="U18" s="1982"/>
      <c r="V18" s="1982"/>
      <c r="W18" s="1982"/>
      <c r="X18" s="1982"/>
      <c r="Y18" s="1982"/>
      <c r="Z18" s="1982"/>
      <c r="AA18" s="1982"/>
      <c r="AB18" s="1982"/>
      <c r="AC18" s="1982"/>
      <c r="AD18" s="1982"/>
      <c r="AE18" s="1982"/>
      <c r="AF18" s="1982"/>
      <c r="AG18" s="1982"/>
      <c r="AH18" s="1982"/>
      <c r="AI18" s="1982"/>
      <c r="AJ18" s="1983"/>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1972" t="s">
        <v>969</v>
      </c>
      <c r="C20" s="1294"/>
      <c r="D20" s="540"/>
      <c r="E20" s="1979" t="s">
        <v>2196</v>
      </c>
      <c r="F20" s="1974"/>
      <c r="G20" s="1974"/>
      <c r="H20" s="1974"/>
      <c r="I20" s="1974"/>
      <c r="J20" s="1974"/>
      <c r="K20" s="1974"/>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80"/>
      <c r="AK20" s="540"/>
      <c r="AL20" s="540"/>
      <c r="AM20" s="540"/>
      <c r="AN20" s="535"/>
    </row>
    <row r="21" spans="1:50" s="536" customFormat="1" ht="12.75" customHeight="1">
      <c r="A21" s="540"/>
      <c r="B21" s="546"/>
      <c r="C21" s="546"/>
      <c r="D21" s="546"/>
      <c r="E21" s="1981"/>
      <c r="F21" s="1982"/>
      <c r="G21" s="1982"/>
      <c r="H21" s="1982"/>
      <c r="I21" s="1982"/>
      <c r="J21" s="1982"/>
      <c r="K21" s="1982"/>
      <c r="L21" s="1982"/>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3"/>
      <c r="AK21" s="540"/>
      <c r="AL21" s="540"/>
      <c r="AM21" s="540"/>
      <c r="AN21" s="535"/>
      <c r="AO21" s="536">
        <f>IF(AND(B12="Yes",B16="Yes",B20="Yes"),10,0)</f>
        <v>10</v>
      </c>
      <c r="AP21" s="536" t="s">
        <v>2197</v>
      </c>
      <c r="AX21" s="539"/>
    </row>
    <row r="22" spans="1:50" s="536" customFormat="1" ht="12.75" customHeight="1">
      <c r="A22" s="540"/>
      <c r="B22" s="546"/>
      <c r="C22" s="546"/>
      <c r="D22" s="546"/>
      <c r="E22" s="558" t="s">
        <v>2198</v>
      </c>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1" t="s">
        <v>2199</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3" t="s">
        <v>2200</v>
      </c>
      <c r="D24" s="1133"/>
      <c r="E24" s="1133"/>
      <c r="F24" s="1133"/>
      <c r="G24" s="1133"/>
      <c r="H24" s="1133"/>
      <c r="I24" s="1133"/>
      <c r="J24" s="1133"/>
      <c r="K24" s="1133"/>
      <c r="L24" s="1133"/>
      <c r="M24" s="1133"/>
      <c r="N24" s="1133"/>
      <c r="O24" s="1133"/>
      <c r="P24" s="1133"/>
      <c r="Q24" s="1133"/>
      <c r="R24" s="1133"/>
      <c r="S24" s="1133"/>
      <c r="T24" s="1133"/>
      <c r="U24" s="1133"/>
      <c r="V24" s="1133"/>
      <c r="W24" s="1133"/>
      <c r="X24" s="1133"/>
      <c r="Y24" s="1133"/>
      <c r="Z24" s="1133"/>
      <c r="AA24" s="1133"/>
      <c r="AB24" s="1133"/>
      <c r="AC24" s="1133"/>
      <c r="AD24" s="1133"/>
      <c r="AE24" s="1133"/>
      <c r="AF24" s="1133"/>
      <c r="AG24" s="1133"/>
      <c r="AH24" s="1133"/>
      <c r="AI24" s="1133"/>
      <c r="AJ24" s="1133"/>
      <c r="AK24" s="540"/>
      <c r="AL24" s="540"/>
      <c r="AM24" s="540"/>
      <c r="AN24" s="535"/>
      <c r="AO24" s="447"/>
      <c r="AP24" s="544"/>
    </row>
    <row r="25" spans="1:50" s="536" customFormat="1" ht="12.75" customHeight="1">
      <c r="A25" s="540"/>
      <c r="B25" s="545" t="s">
        <v>935</v>
      </c>
      <c r="C25" s="540"/>
      <c r="D25" s="540"/>
      <c r="E25" s="540" t="s">
        <v>2201</v>
      </c>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1972" t="s">
        <v>935</v>
      </c>
      <c r="C26" s="1294"/>
      <c r="D26" s="546"/>
      <c r="E26" s="547" t="s">
        <v>2202</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117"/>
      <c r="AH26" s="2118"/>
      <c r="AI26" s="2118"/>
      <c r="AJ26" s="2119"/>
      <c r="AK26" s="540"/>
      <c r="AL26" s="540"/>
      <c r="AM26" s="540"/>
      <c r="AN26" s="535"/>
      <c r="AO26" s="536">
        <f>IF($B26="yes",20,0)</f>
        <v>0</v>
      </c>
      <c r="AP26" s="14" t="s">
        <v>2197</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2" t="s">
        <v>2203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2"/>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1972" t="s">
        <v>935</v>
      </c>
      <c r="C30" s="1294"/>
      <c r="D30" s="546"/>
      <c r="E30" s="2058" t="s">
        <v>2204</v>
      </c>
      <c r="F30" s="1974"/>
      <c r="G30" s="1974"/>
      <c r="H30" s="1974"/>
      <c r="I30" s="1974"/>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80"/>
      <c r="AK30" s="540"/>
      <c r="AL30" s="540"/>
      <c r="AM30" s="540"/>
      <c r="AN30" s="535"/>
      <c r="AO30" s="549">
        <f>IF($B30="yes",9,0)</f>
        <v>0</v>
      </c>
    </row>
    <row r="31" spans="1:50" s="536" customFormat="1" ht="12.75" customHeight="1">
      <c r="A31" s="540"/>
      <c r="B31" s="540"/>
      <c r="C31" s="540"/>
      <c r="E31" s="1981"/>
      <c r="F31" s="1982"/>
      <c r="G31" s="1982"/>
      <c r="H31" s="1982"/>
      <c r="I31" s="1982"/>
      <c r="J31" s="1982"/>
      <c r="K31" s="1982"/>
      <c r="L31" s="1982"/>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3"/>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1972" t="s">
        <v>935</v>
      </c>
      <c r="C33" s="1294"/>
      <c r="D33" s="546"/>
      <c r="E33" s="2058" t="s">
        <v>2205</v>
      </c>
      <c r="F33" s="1974"/>
      <c r="G33" s="1974"/>
      <c r="H33" s="1974"/>
      <c r="I33" s="1974"/>
      <c r="J33" s="1974"/>
      <c r="K33" s="1974"/>
      <c r="L33" s="1974"/>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80"/>
      <c r="AK33" s="540"/>
      <c r="AL33" s="540"/>
      <c r="AM33" s="540"/>
      <c r="AN33" s="535"/>
      <c r="AO33" s="549">
        <f>IF($B39="yes",9,0)</f>
        <v>0</v>
      </c>
    </row>
    <row r="34" spans="1:43" s="536" customFormat="1" ht="12.75" customHeight="1">
      <c r="A34" s="540"/>
      <c r="B34" s="540"/>
      <c r="C34" s="540"/>
      <c r="D34" s="546"/>
      <c r="E34" s="1986"/>
      <c r="F34" s="1987"/>
      <c r="G34" s="1987"/>
      <c r="H34" s="1987"/>
      <c r="I34" s="1987"/>
      <c r="J34" s="1987"/>
      <c r="K34" s="1987"/>
      <c r="L34" s="1987"/>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8"/>
      <c r="AK34" s="540"/>
      <c r="AL34" s="540"/>
      <c r="AM34" s="540"/>
      <c r="AN34" s="535"/>
      <c r="AO34" s="536">
        <f>MAX(AO30,AO31,AO32,AO33)</f>
        <v>0</v>
      </c>
      <c r="AP34" s="536" t="s">
        <v>2197</v>
      </c>
    </row>
    <row r="35" spans="1:43" s="536" customFormat="1" ht="12.75" customHeight="1">
      <c r="A35" s="540"/>
      <c r="B35" s="540"/>
      <c r="C35" s="540"/>
      <c r="E35" s="1981"/>
      <c r="F35" s="1982"/>
      <c r="G35" s="1982"/>
      <c r="H35" s="1982"/>
      <c r="I35" s="1982"/>
      <c r="J35" s="1982"/>
      <c r="K35" s="1982"/>
      <c r="L35" s="1982"/>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3"/>
      <c r="AK35" s="540"/>
      <c r="AL35" s="540"/>
      <c r="AM35" s="540"/>
      <c r="AN35" s="535"/>
    </row>
    <row r="36" spans="1:43" s="536" customFormat="1" ht="12.75" customHeight="1">
      <c r="A36" s="540"/>
      <c r="B36" s="540" t="s">
        <v>935</v>
      </c>
      <c r="C36" s="540"/>
      <c r="E36" t="s">
        <v>2206</v>
      </c>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1972" t="s">
        <v>935</v>
      </c>
      <c r="C37" s="1294"/>
      <c r="D37" s="1134"/>
      <c r="E37" s="1965" t="s">
        <v>2207</v>
      </c>
      <c r="F37" s="1966"/>
      <c r="G37" s="1966"/>
      <c r="H37" s="1966"/>
      <c r="I37" s="1966"/>
      <c r="J37" s="1966"/>
      <c r="K37" s="1966"/>
      <c r="L37" s="1966"/>
      <c r="M37" s="1966"/>
      <c r="N37" s="1966"/>
      <c r="O37" s="1966"/>
      <c r="P37" s="1966"/>
      <c r="Q37" s="1966"/>
      <c r="R37" s="1966"/>
      <c r="S37" s="1966"/>
      <c r="T37" s="1966"/>
      <c r="U37" s="1966"/>
      <c r="V37" s="1966"/>
      <c r="W37" s="1966"/>
      <c r="X37" s="1966"/>
      <c r="Y37" s="1966"/>
      <c r="Z37" s="1966"/>
      <c r="AA37" s="1966"/>
      <c r="AB37" s="1966"/>
      <c r="AC37" s="1966"/>
      <c r="AD37" s="1966"/>
      <c r="AE37" s="1966"/>
      <c r="AF37" s="1966"/>
      <c r="AG37" s="1966"/>
      <c r="AH37" s="1966"/>
      <c r="AI37" s="1966"/>
      <c r="AJ37" s="1967"/>
      <c r="AK37" s="1134"/>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1972" t="s">
        <v>935</v>
      </c>
      <c r="C39" s="1294"/>
      <c r="D39" s="1134"/>
      <c r="E39" s="1965" t="s">
        <v>2208</v>
      </c>
      <c r="F39" s="1966"/>
      <c r="G39" s="1966"/>
      <c r="H39" s="1966"/>
      <c r="I39" s="1966"/>
      <c r="J39" s="1966"/>
      <c r="K39" s="1966"/>
      <c r="L39" s="1966"/>
      <c r="M39" s="1966"/>
      <c r="N39" s="1966"/>
      <c r="O39" s="1966"/>
      <c r="P39" s="1966"/>
      <c r="Q39" s="1966"/>
      <c r="R39" s="1966"/>
      <c r="S39" s="1966"/>
      <c r="T39" s="1966"/>
      <c r="U39" s="1966"/>
      <c r="V39" s="1966"/>
      <c r="W39" s="1966"/>
      <c r="X39" s="1966"/>
      <c r="Y39" s="1966"/>
      <c r="Z39" s="1966"/>
      <c r="AA39" s="1966"/>
      <c r="AB39" s="1966"/>
      <c r="AC39" s="1966"/>
      <c r="AD39" s="1966"/>
      <c r="AE39" s="1966"/>
      <c r="AF39" s="1966"/>
      <c r="AG39" s="1966"/>
      <c r="AH39" s="1966"/>
      <c r="AI39" s="1966"/>
      <c r="AJ39" s="1967"/>
      <c r="AK39" s="1134"/>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2" t="s">
        <v>2209</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2"/>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1972" t="s">
        <v>969</v>
      </c>
      <c r="C43" s="1294"/>
      <c r="D43" s="546"/>
      <c r="E43" s="2039" t="s">
        <v>2210</v>
      </c>
      <c r="F43" s="1974"/>
      <c r="G43" s="1974"/>
      <c r="H43" s="1974"/>
      <c r="I43" s="1974"/>
      <c r="J43" s="1974"/>
      <c r="K43" s="1974"/>
      <c r="L43" s="1974"/>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80"/>
      <c r="AK43" s="540"/>
      <c r="AL43" s="540"/>
      <c r="AM43" s="540"/>
      <c r="AN43" s="535"/>
      <c r="AO43" s="549">
        <f>IF($B43="yes",8,0)</f>
        <v>8</v>
      </c>
      <c r="AP43" s="14"/>
    </row>
    <row r="44" spans="1:43" s="536" customFormat="1" ht="12.75" customHeight="1">
      <c r="A44" s="540"/>
      <c r="B44" s="540"/>
      <c r="C44" s="540"/>
      <c r="D44" s="550"/>
      <c r="E44" s="1981"/>
      <c r="F44" s="1982"/>
      <c r="G44" s="1982"/>
      <c r="H44" s="1982"/>
      <c r="I44" s="1982"/>
      <c r="J44" s="1982"/>
      <c r="K44" s="1982"/>
      <c r="L44" s="1982"/>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3"/>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1972" t="s">
        <v>935</v>
      </c>
      <c r="C46" s="1294"/>
      <c r="D46" s="546"/>
      <c r="E46" s="2058" t="s">
        <v>2211</v>
      </c>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80"/>
      <c r="AK46" s="540"/>
      <c r="AL46" s="540"/>
      <c r="AM46" s="540"/>
      <c r="AN46" s="535"/>
      <c r="AO46" s="549">
        <f>IF($B52="yes",8,0)</f>
        <v>0</v>
      </c>
    </row>
    <row r="47" spans="1:43" s="536" customFormat="1" ht="12.75" customHeight="1">
      <c r="A47" s="540"/>
      <c r="B47" s="540"/>
      <c r="C47" s="540"/>
      <c r="D47" s="549"/>
      <c r="E47" s="1981"/>
      <c r="F47" s="1982"/>
      <c r="G47" s="1982"/>
      <c r="H47" s="1982"/>
      <c r="I47" s="1982"/>
      <c r="J47" s="1982"/>
      <c r="K47" s="1982"/>
      <c r="L47" s="1982"/>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3"/>
      <c r="AK47" s="540"/>
      <c r="AL47" s="540"/>
      <c r="AM47" s="540"/>
      <c r="AN47" s="535"/>
      <c r="AO47" s="536">
        <f>MAX(AO43,AO44,AO45,AO46)</f>
        <v>8</v>
      </c>
      <c r="AP47" s="536" t="s">
        <v>2197</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1972" t="s">
        <v>935</v>
      </c>
      <c r="C49" s="1294"/>
      <c r="D49" s="546"/>
      <c r="E49" s="1979" t="s">
        <v>2212</v>
      </c>
      <c r="F49" s="1974"/>
      <c r="G49" s="1974"/>
      <c r="H49" s="1974"/>
      <c r="I49" s="1974"/>
      <c r="J49" s="1974"/>
      <c r="K49" s="1974"/>
      <c r="L49" s="1974"/>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80"/>
      <c r="AK49" s="540"/>
      <c r="AL49" s="540"/>
      <c r="AM49" s="540"/>
      <c r="AN49" s="535"/>
      <c r="AO49" s="549"/>
    </row>
    <row r="50" spans="1:42" s="536" customFormat="1" ht="12.75" customHeight="1">
      <c r="A50" s="540"/>
      <c r="B50" s="540"/>
      <c r="C50" s="540"/>
      <c r="D50" s="549"/>
      <c r="E50" s="1981"/>
      <c r="F50" s="1982"/>
      <c r="G50" s="1982"/>
      <c r="H50" s="1982"/>
      <c r="I50" s="1982"/>
      <c r="J50" s="1982"/>
      <c r="K50" s="1982"/>
      <c r="L50" s="1982"/>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3"/>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1972" t="s">
        <v>935</v>
      </c>
      <c r="C52" s="1294"/>
      <c r="D52" s="546"/>
      <c r="E52" s="1965" t="s">
        <v>2213</v>
      </c>
      <c r="F52" s="1966"/>
      <c r="G52" s="1966"/>
      <c r="H52" s="1966"/>
      <c r="I52" s="1966"/>
      <c r="J52" s="1966"/>
      <c r="K52" s="1966"/>
      <c r="L52" s="1966"/>
      <c r="M52" s="1966"/>
      <c r="N52" s="1966"/>
      <c r="O52" s="1966"/>
      <c r="P52" s="1966"/>
      <c r="Q52" s="1966"/>
      <c r="R52" s="1966"/>
      <c r="S52" s="1966"/>
      <c r="T52" s="1966"/>
      <c r="U52" s="1966"/>
      <c r="V52" s="1966"/>
      <c r="W52" s="1966"/>
      <c r="X52" s="1966"/>
      <c r="Y52" s="1966"/>
      <c r="Z52" s="1966"/>
      <c r="AA52" s="1966"/>
      <c r="AB52" s="1966"/>
      <c r="AC52" s="1966"/>
      <c r="AD52" s="1966"/>
      <c r="AE52" s="1966"/>
      <c r="AF52" s="1966"/>
      <c r="AG52" s="1966"/>
      <c r="AH52" s="1966"/>
      <c r="AI52" s="1966"/>
      <c r="AJ52" s="1967"/>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2" t="s">
        <v>2214</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2"/>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1972" t="s">
        <v>935</v>
      </c>
      <c r="C56" s="1294"/>
      <c r="D56" s="546"/>
      <c r="E56" s="1979" t="s">
        <v>2215</v>
      </c>
      <c r="F56" s="1974"/>
      <c r="G56" s="1974"/>
      <c r="H56" s="1974"/>
      <c r="I56" s="1974"/>
      <c r="J56" s="1974"/>
      <c r="K56" s="1974"/>
      <c r="L56" s="1974"/>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80"/>
      <c r="AK56" s="540"/>
      <c r="AL56" s="540"/>
      <c r="AM56" s="540"/>
      <c r="AN56" s="535"/>
      <c r="AO56" s="549">
        <f>IF($B59="yes",7,0)</f>
        <v>0</v>
      </c>
    </row>
    <row r="57" spans="1:42" s="536" customFormat="1" ht="12.75" customHeight="1">
      <c r="A57" s="540"/>
      <c r="B57" s="540"/>
      <c r="C57" s="540"/>
      <c r="D57" s="549"/>
      <c r="E57" s="1981"/>
      <c r="F57" s="1982"/>
      <c r="G57" s="1982"/>
      <c r="H57" s="1982"/>
      <c r="I57" s="1982"/>
      <c r="J57" s="1982"/>
      <c r="K57" s="1982"/>
      <c r="L57" s="1982"/>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3"/>
      <c r="AK57" s="540"/>
      <c r="AL57" s="540"/>
      <c r="AM57" s="540"/>
      <c r="AN57" s="535"/>
      <c r="AO57" s="536">
        <f>MAX(AO55:AO56)</f>
        <v>0</v>
      </c>
      <c r="AP57" s="536" t="s">
        <v>2197</v>
      </c>
    </row>
    <row r="58" spans="1:42" s="536" customFormat="1" ht="12.75" customHeight="1">
      <c r="A58" s="540"/>
      <c r="B58" s="540" t="s">
        <v>935</v>
      </c>
      <c r="C58" s="540"/>
      <c r="D58" s="549"/>
      <c r="E58" s="540" t="s">
        <v>2216</v>
      </c>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1972" t="s">
        <v>935</v>
      </c>
      <c r="C59" s="1294"/>
      <c r="D59" s="546"/>
      <c r="E59" s="1965" t="s">
        <v>2217</v>
      </c>
      <c r="F59" s="1966"/>
      <c r="G59" s="1966"/>
      <c r="H59" s="1966"/>
      <c r="I59" s="1966"/>
      <c r="J59" s="1966"/>
      <c r="K59" s="1966"/>
      <c r="L59" s="1966"/>
      <c r="M59" s="1966"/>
      <c r="N59" s="1966"/>
      <c r="O59" s="1966"/>
      <c r="P59" s="1966"/>
      <c r="Q59" s="1966"/>
      <c r="R59" s="1966"/>
      <c r="S59" s="1966"/>
      <c r="T59" s="1966"/>
      <c r="U59" s="1966"/>
      <c r="V59" s="1966"/>
      <c r="W59" s="1966"/>
      <c r="X59" s="1966"/>
      <c r="Y59" s="1966"/>
      <c r="Z59" s="1966"/>
      <c r="AA59" s="1966"/>
      <c r="AB59" s="1966"/>
      <c r="AC59" s="1966"/>
      <c r="AD59" s="1966"/>
      <c r="AE59" s="1966"/>
      <c r="AF59" s="1966"/>
      <c r="AG59" s="1966"/>
      <c r="AH59" s="1966"/>
      <c r="AI59" s="1966"/>
      <c r="AJ59" s="1967"/>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18</v>
      </c>
      <c r="AP60" s="536" t="s">
        <v>2197</v>
      </c>
    </row>
    <row r="61" spans="1:42" s="536" customFormat="1" ht="12.75" customHeight="1">
      <c r="A61" s="559"/>
      <c r="B61" s="560" t="s">
        <v>935</v>
      </c>
      <c r="C61" s="560"/>
      <c r="D61" s="560"/>
      <c r="E61" s="560" t="s">
        <v>2218</v>
      </c>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2219</v>
      </c>
      <c r="AK61" s="2013">
        <f>AO60</f>
        <v>18</v>
      </c>
      <c r="AL61" s="1263"/>
      <c r="AM61" s="1264"/>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2220</v>
      </c>
      <c r="B64" s="539" t="s">
        <v>734</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011" t="s">
        <v>2221</v>
      </c>
      <c r="AF64" s="1987"/>
      <c r="AG64" s="1987"/>
      <c r="AH64" s="1987"/>
      <c r="AI64" s="1987"/>
      <c r="AJ64" s="1987"/>
      <c r="AK64" s="1987"/>
      <c r="AL64" s="540"/>
      <c r="AM64" s="540"/>
      <c r="AN64" s="535"/>
    </row>
    <row r="65" spans="1:42" s="536" customFormat="1" ht="12.75" customHeight="1">
      <c r="A65" s="538"/>
      <c r="B65" s="539" t="s">
        <v>2222</v>
      </c>
      <c r="C65" s="539"/>
      <c r="D65" s="539"/>
      <c r="E65" s="539" t="s">
        <v>2223</v>
      </c>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1972" t="s">
        <v>935</v>
      </c>
      <c r="C67" s="1294"/>
      <c r="D67" s="546" t="s">
        <v>2224</v>
      </c>
      <c r="E67" s="2039" t="s">
        <v>2225</v>
      </c>
      <c r="F67" s="1974"/>
      <c r="G67" s="1974"/>
      <c r="H67" s="1974"/>
      <c r="I67" s="1974"/>
      <c r="J67" s="1974"/>
      <c r="K67" s="1974"/>
      <c r="L67" s="1974"/>
      <c r="M67" s="1974"/>
      <c r="N67" s="1974"/>
      <c r="O67" s="1974"/>
      <c r="P67" s="1974"/>
      <c r="Q67" s="1974"/>
      <c r="R67" s="1974"/>
      <c r="S67" s="1974"/>
      <c r="T67" s="1974"/>
      <c r="U67" s="1974"/>
      <c r="V67" s="1974"/>
      <c r="W67" s="1974"/>
      <c r="X67" s="1974"/>
      <c r="Y67" s="1974"/>
      <c r="Z67" s="1974"/>
      <c r="AA67" s="1974"/>
      <c r="AB67" s="1974"/>
      <c r="AC67" s="1974"/>
      <c r="AD67" s="1974"/>
      <c r="AE67" s="1974"/>
      <c r="AF67" s="1974"/>
      <c r="AG67" s="1974"/>
      <c r="AH67" s="1974"/>
      <c r="AI67" s="1974"/>
      <c r="AJ67" s="1980"/>
      <c r="AK67" s="543"/>
      <c r="AL67" s="540"/>
      <c r="AM67" s="540"/>
      <c r="AN67" s="535"/>
      <c r="AO67" s="549">
        <f>IF($B67="yes",10,0)</f>
        <v>0</v>
      </c>
    </row>
    <row r="68" spans="1:42" s="536" customFormat="1" ht="12.75" customHeight="1">
      <c r="A68" s="538"/>
      <c r="B68" s="540"/>
      <c r="C68" s="540" t="s">
        <v>2226</v>
      </c>
      <c r="D68" s="550"/>
      <c r="E68" s="1986"/>
      <c r="F68" s="1987"/>
      <c r="G68" s="1987"/>
      <c r="H68" s="1987"/>
      <c r="I68" s="1987"/>
      <c r="J68" s="1987"/>
      <c r="K68" s="1987"/>
      <c r="L68" s="1987"/>
      <c r="M68" s="1987"/>
      <c r="N68" s="1987"/>
      <c r="O68" s="1987"/>
      <c r="P68" s="1987"/>
      <c r="Q68" s="1987"/>
      <c r="R68" s="1987"/>
      <c r="S68" s="1987"/>
      <c r="T68" s="1987"/>
      <c r="U68" s="1987"/>
      <c r="V68" s="1987"/>
      <c r="W68" s="1987"/>
      <c r="X68" s="1987"/>
      <c r="Y68" s="1987"/>
      <c r="Z68" s="1987"/>
      <c r="AA68" s="1987"/>
      <c r="AB68" s="1987"/>
      <c r="AC68" s="1987"/>
      <c r="AD68" s="1987"/>
      <c r="AE68" s="1987"/>
      <c r="AF68" s="1987"/>
      <c r="AG68" s="1987"/>
      <c r="AH68" s="1987"/>
      <c r="AI68" s="1987"/>
      <c r="AJ68" s="1988"/>
      <c r="AK68" s="543"/>
      <c r="AL68" s="540"/>
      <c r="AM68" s="540"/>
      <c r="AN68" s="535"/>
      <c r="AO68" s="549">
        <f>IF(AND($B73="yes",OR(E74="Yes",E75="Yes",E76="Yes")),10,0)</f>
        <v>0</v>
      </c>
    </row>
    <row r="69" spans="1:42" s="536" customFormat="1" ht="12.75" customHeight="1">
      <c r="A69" s="538"/>
      <c r="B69" s="540"/>
      <c r="C69" s="540"/>
      <c r="D69" s="550"/>
      <c r="E69" s="1986"/>
      <c r="F69" s="1987"/>
      <c r="G69" s="1987"/>
      <c r="H69" s="1987"/>
      <c r="I69" s="1987"/>
      <c r="J69" s="1987"/>
      <c r="K69" s="1987"/>
      <c r="L69" s="1987"/>
      <c r="M69" s="1987"/>
      <c r="N69" s="1987"/>
      <c r="O69" s="1987"/>
      <c r="P69" s="1987"/>
      <c r="Q69" s="1987"/>
      <c r="R69" s="1987"/>
      <c r="S69" s="1987"/>
      <c r="T69" s="1987"/>
      <c r="U69" s="1987"/>
      <c r="V69" s="1987"/>
      <c r="W69" s="1987"/>
      <c r="X69" s="1987"/>
      <c r="Y69" s="1987"/>
      <c r="Z69" s="1987"/>
      <c r="AA69" s="1987"/>
      <c r="AB69" s="1987"/>
      <c r="AC69" s="1987"/>
      <c r="AD69" s="1987"/>
      <c r="AE69" s="1987"/>
      <c r="AF69" s="1987"/>
      <c r="AG69" s="1987"/>
      <c r="AH69" s="1987"/>
      <c r="AI69" s="1987"/>
      <c r="AJ69" s="1988"/>
      <c r="AK69" s="543"/>
      <c r="AL69" s="540"/>
      <c r="AM69" s="540"/>
      <c r="AN69" s="535"/>
      <c r="AO69" s="549">
        <f>IF($B78="yes",10,0)</f>
        <v>0</v>
      </c>
    </row>
    <row r="70" spans="1:42" s="536" customFormat="1" ht="12.75" customHeight="1">
      <c r="A70" s="538"/>
      <c r="B70" s="540" t="s">
        <v>935</v>
      </c>
      <c r="C70" s="540"/>
      <c r="D70" s="550"/>
      <c r="E70" s="1986"/>
      <c r="F70" s="1987"/>
      <c r="G70" s="1987"/>
      <c r="H70" s="1987"/>
      <c r="I70" s="1987"/>
      <c r="J70" s="1987"/>
      <c r="K70" s="1987"/>
      <c r="L70" s="1987"/>
      <c r="M70" s="1987"/>
      <c r="N70" s="1987"/>
      <c r="O70" s="1987"/>
      <c r="P70" s="1987"/>
      <c r="Q70" s="1987"/>
      <c r="R70" s="1987"/>
      <c r="S70" s="1987"/>
      <c r="T70" s="1987"/>
      <c r="U70" s="1987"/>
      <c r="V70" s="1987"/>
      <c r="W70" s="1987"/>
      <c r="X70" s="1987"/>
      <c r="Y70" s="1987"/>
      <c r="Z70" s="1987"/>
      <c r="AA70" s="1987"/>
      <c r="AB70" s="1987"/>
      <c r="AC70" s="1987"/>
      <c r="AD70" s="1987"/>
      <c r="AE70" s="1987"/>
      <c r="AF70" s="1987"/>
      <c r="AG70" s="1987"/>
      <c r="AH70" s="1987"/>
      <c r="AI70" s="1987"/>
      <c r="AJ70" s="1988"/>
      <c r="AK70" s="543"/>
      <c r="AL70" s="540"/>
      <c r="AM70" s="540"/>
      <c r="AN70" s="535"/>
      <c r="AO70" s="549">
        <f>IF($B81="yes",10,0)</f>
        <v>0</v>
      </c>
    </row>
    <row r="71" spans="1:42" s="536" customFormat="1" ht="12.75" customHeight="1">
      <c r="A71" s="538"/>
      <c r="B71" s="540"/>
      <c r="C71" s="540"/>
      <c r="D71" s="550"/>
      <c r="E71" s="1981"/>
      <c r="F71" s="1982"/>
      <c r="G71" s="1982"/>
      <c r="H71" s="1982"/>
      <c r="I71" s="1982"/>
      <c r="J71" s="1982"/>
      <c r="K71" s="1982"/>
      <c r="L71" s="1982"/>
      <c r="M71" s="1982"/>
      <c r="N71" s="1982"/>
      <c r="O71" s="1982"/>
      <c r="P71" s="1982"/>
      <c r="Q71" s="1982"/>
      <c r="R71" s="1982"/>
      <c r="S71" s="1982"/>
      <c r="T71" s="1982"/>
      <c r="U71" s="1982"/>
      <c r="V71" s="1982"/>
      <c r="W71" s="1982"/>
      <c r="X71" s="1982"/>
      <c r="Y71" s="1982"/>
      <c r="Z71" s="1982"/>
      <c r="AA71" s="1982"/>
      <c r="AB71" s="1982"/>
      <c r="AC71" s="1982"/>
      <c r="AD71" s="1982"/>
      <c r="AE71" s="1982"/>
      <c r="AF71" s="1982"/>
      <c r="AG71" s="1982"/>
      <c r="AH71" s="1982"/>
      <c r="AI71" s="1982"/>
      <c r="AJ71" s="1983"/>
      <c r="AK71" s="543"/>
      <c r="AL71" s="540"/>
      <c r="AM71" s="540"/>
      <c r="AN71" s="535"/>
      <c r="AO71" s="536">
        <f>IF(SUM(AO67:AO70)&gt;10,10,(SUM(AO67:AO70)))</f>
        <v>0</v>
      </c>
      <c r="AP71" s="572" t="s">
        <v>2227</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1972" t="s">
        <v>935</v>
      </c>
      <c r="C73" s="1294"/>
      <c r="D73" s="546" t="s">
        <v>2228</v>
      </c>
      <c r="E73" s="967" t="s">
        <v>2229</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t="s">
        <v>2230</v>
      </c>
      <c r="C74" s="540"/>
      <c r="D74" s="549"/>
      <c r="E74" s="2095" t="s">
        <v>935</v>
      </c>
      <c r="F74" s="1294"/>
      <c r="G74" s="573"/>
      <c r="H74" s="556" t="s">
        <v>2231</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t="s">
        <v>2232</v>
      </c>
      <c r="D75" s="549"/>
      <c r="E75" s="1995" t="s">
        <v>935</v>
      </c>
      <c r="F75" s="1374"/>
      <c r="G75" s="573"/>
      <c r="H75" s="556" t="s">
        <v>2233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1995" t="s">
        <v>935</v>
      </c>
      <c r="F76" s="1374"/>
      <c r="G76" s="902"/>
      <c r="H76" s="1194" t="s">
        <v>2234</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t="s">
        <v>969</v>
      </c>
      <c r="C77" s="540"/>
      <c r="D77" s="550"/>
      <c r="E77" s="540" t="s">
        <v>2235</v>
      </c>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1972" t="s">
        <v>935</v>
      </c>
      <c r="C78" s="1294"/>
      <c r="D78" s="546" t="s">
        <v>2236</v>
      </c>
      <c r="E78" s="1979" t="s">
        <v>2237</v>
      </c>
      <c r="F78" s="1974"/>
      <c r="G78" s="1974"/>
      <c r="H78" s="1974"/>
      <c r="I78" s="1974"/>
      <c r="J78" s="1974"/>
      <c r="K78" s="1974"/>
      <c r="L78" s="1974"/>
      <c r="M78" s="1974"/>
      <c r="N78" s="1974"/>
      <c r="O78" s="1974"/>
      <c r="P78" s="1974"/>
      <c r="Q78" s="1974"/>
      <c r="R78" s="1974"/>
      <c r="S78" s="1974"/>
      <c r="T78" s="1974"/>
      <c r="U78" s="1974"/>
      <c r="V78" s="1974"/>
      <c r="W78" s="1974"/>
      <c r="X78" s="1974"/>
      <c r="Y78" s="1974"/>
      <c r="Z78" s="1974"/>
      <c r="AA78" s="1974"/>
      <c r="AB78" s="1974"/>
      <c r="AC78" s="1974"/>
      <c r="AD78" s="1974"/>
      <c r="AE78" s="1974"/>
      <c r="AF78" s="1974"/>
      <c r="AG78" s="1974"/>
      <c r="AH78" s="1974"/>
      <c r="AI78" s="1974"/>
      <c r="AJ78" s="1980"/>
      <c r="AK78" s="543"/>
      <c r="AL78" s="540"/>
      <c r="AM78" s="540"/>
      <c r="AN78" s="535"/>
    </row>
    <row r="79" spans="1:42" s="536" customFormat="1" ht="12.75" customHeight="1">
      <c r="A79" s="538"/>
      <c r="B79" s="540"/>
      <c r="C79" s="540"/>
      <c r="E79" s="1981"/>
      <c r="F79" s="1982"/>
      <c r="G79" s="1982"/>
      <c r="H79" s="1982"/>
      <c r="I79" s="1982"/>
      <c r="J79" s="1982"/>
      <c r="K79" s="1982"/>
      <c r="L79" s="1982"/>
      <c r="M79" s="1982"/>
      <c r="N79" s="1982"/>
      <c r="O79" s="1982"/>
      <c r="P79" s="1982"/>
      <c r="Q79" s="1982"/>
      <c r="R79" s="1982"/>
      <c r="S79" s="1982"/>
      <c r="T79" s="1982"/>
      <c r="U79" s="1982"/>
      <c r="V79" s="1982"/>
      <c r="W79" s="1982"/>
      <c r="X79" s="1982"/>
      <c r="Y79" s="1982"/>
      <c r="Z79" s="1982"/>
      <c r="AA79" s="1982"/>
      <c r="AB79" s="1982"/>
      <c r="AC79" s="1982"/>
      <c r="AD79" s="1982"/>
      <c r="AE79" s="1982"/>
      <c r="AF79" s="1982"/>
      <c r="AG79" s="1982"/>
      <c r="AH79" s="1982"/>
      <c r="AI79" s="1982"/>
      <c r="AJ79" s="1983"/>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1972" t="s">
        <v>935</v>
      </c>
      <c r="C81" s="1294"/>
      <c r="D81" s="546" t="s">
        <v>2238</v>
      </c>
      <c r="E81" s="1965" t="s">
        <v>2239</v>
      </c>
      <c r="F81" s="1966"/>
      <c r="G81" s="1966"/>
      <c r="H81" s="1966"/>
      <c r="I81" s="1966"/>
      <c r="J81" s="1966"/>
      <c r="K81" s="1966"/>
      <c r="L81" s="1966"/>
      <c r="M81" s="1966"/>
      <c r="N81" s="1966"/>
      <c r="O81" s="1966"/>
      <c r="P81" s="1966"/>
      <c r="Q81" s="1966"/>
      <c r="R81" s="1966"/>
      <c r="S81" s="1966"/>
      <c r="T81" s="1966"/>
      <c r="U81" s="1966"/>
      <c r="V81" s="1966"/>
      <c r="W81" s="1966"/>
      <c r="X81" s="1966"/>
      <c r="Y81" s="1966"/>
      <c r="Z81" s="1966"/>
      <c r="AA81" s="1966"/>
      <c r="AB81" s="1966"/>
      <c r="AC81" s="1966"/>
      <c r="AD81" s="1966"/>
      <c r="AE81" s="1966"/>
      <c r="AF81" s="1966"/>
      <c r="AG81" s="1966"/>
      <c r="AH81" s="1966"/>
      <c r="AI81" s="1966"/>
      <c r="AJ81" s="1967"/>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t="s">
        <v>969</v>
      </c>
      <c r="C83" s="560"/>
      <c r="D83" s="560"/>
      <c r="E83" s="560" t="s">
        <v>2196</v>
      </c>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2240</v>
      </c>
      <c r="AK83" s="2013">
        <f>IF(AK61&gt;0,0,AO71)</f>
        <v>0</v>
      </c>
      <c r="AL83" s="1263"/>
      <c r="AM83" s="1264"/>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2241</v>
      </c>
      <c r="B86" s="539" t="s">
        <v>2242</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011" t="s">
        <v>2190</v>
      </c>
      <c r="AF86" s="1987"/>
      <c r="AG86" s="1987"/>
      <c r="AH86" s="1987"/>
      <c r="AI86" s="1987"/>
      <c r="AJ86" s="1987"/>
      <c r="AK86" s="1987"/>
      <c r="AL86" s="540"/>
      <c r="AM86" s="540"/>
      <c r="AN86" s="535"/>
    </row>
    <row r="87" spans="1:43" s="536" customFormat="1" ht="12.75" customHeight="1">
      <c r="A87" s="538"/>
      <c r="B87" s="539" t="s">
        <v>2243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t="s">
        <v>2244</v>
      </c>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1972" t="s">
        <v>935</v>
      </c>
      <c r="C89" s="1294"/>
      <c r="D89" s="546" t="s">
        <v>2224</v>
      </c>
      <c r="E89" s="2092" t="s">
        <v>2245</v>
      </c>
      <c r="F89" s="1974"/>
      <c r="G89" s="1974"/>
      <c r="H89" s="1974"/>
      <c r="I89" s="1974"/>
      <c r="J89" s="1974"/>
      <c r="K89" s="1974"/>
      <c r="L89" s="1974"/>
      <c r="M89" s="1974"/>
      <c r="N89" s="1974"/>
      <c r="O89" s="1974"/>
      <c r="P89" s="1974"/>
      <c r="Q89" s="1974"/>
      <c r="R89" s="1974"/>
      <c r="S89" s="1974"/>
      <c r="T89" s="1974"/>
      <c r="U89" s="1974"/>
      <c r="V89" s="1974"/>
      <c r="W89" s="1974"/>
      <c r="X89" s="1974"/>
      <c r="Y89" s="1974"/>
      <c r="Z89" s="1974"/>
      <c r="AA89" s="1974"/>
      <c r="AB89" s="1974"/>
      <c r="AC89" s="1974"/>
      <c r="AD89" s="1974"/>
      <c r="AE89" s="1974"/>
      <c r="AF89" s="1974"/>
      <c r="AG89" s="1974"/>
      <c r="AH89" s="1974"/>
      <c r="AI89" s="1974"/>
      <c r="AJ89" s="1980"/>
      <c r="AK89" s="543"/>
      <c r="AL89" s="540"/>
      <c r="AM89" s="540"/>
      <c r="AN89" s="535"/>
    </row>
    <row r="90" spans="1:43" s="536" customFormat="1" ht="12.75" customHeight="1">
      <c r="A90" s="538"/>
      <c r="B90" s="539"/>
      <c r="C90" s="539"/>
      <c r="D90" s="539"/>
      <c r="E90" s="1986"/>
      <c r="F90" s="1987"/>
      <c r="G90" s="1987"/>
      <c r="H90" s="1987"/>
      <c r="I90" s="1987"/>
      <c r="J90" s="1987"/>
      <c r="K90" s="1987"/>
      <c r="L90" s="1987"/>
      <c r="M90" s="1987"/>
      <c r="N90" s="1987"/>
      <c r="O90" s="1987"/>
      <c r="P90" s="1987"/>
      <c r="Q90" s="1987"/>
      <c r="R90" s="1987"/>
      <c r="S90" s="1987"/>
      <c r="T90" s="1987"/>
      <c r="U90" s="1987"/>
      <c r="V90" s="1987"/>
      <c r="W90" s="1987"/>
      <c r="X90" s="1987"/>
      <c r="Y90" s="1987"/>
      <c r="Z90" s="1987"/>
      <c r="AA90" s="1987"/>
      <c r="AB90" s="1987"/>
      <c r="AC90" s="1987"/>
      <c r="AD90" s="1987"/>
      <c r="AE90" s="1987"/>
      <c r="AF90" s="1987"/>
      <c r="AG90" s="1987"/>
      <c r="AH90" s="1987"/>
      <c r="AI90" s="1987"/>
      <c r="AJ90" s="1988"/>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033">
        <f>Application!AC761</f>
        <v>0.47187500000000004</v>
      </c>
      <c r="F92" s="1405"/>
      <c r="G92" s="1405"/>
      <c r="H92" s="1405"/>
      <c r="I92" s="575"/>
      <c r="J92" s="578" t="s">
        <v>2246</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077">
        <f>0.6-ROUNDUP(E92,2)</f>
        <v>0.12</v>
      </c>
      <c r="F93" s="1263"/>
      <c r="G93" s="1263"/>
      <c r="H93" s="1263"/>
      <c r="I93" s="575"/>
      <c r="J93" s="578" t="s">
        <v>2247</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086">
        <f>IF(E93*200&gt;20,20,E93*200)</f>
        <v>20</v>
      </c>
      <c r="F94" s="1405"/>
      <c r="G94" s="1405"/>
      <c r="H94" s="1405"/>
      <c r="I94" s="575"/>
      <c r="J94" s="578" t="s">
        <v>2248</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2197</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1972" t="s">
        <v>969</v>
      </c>
      <c r="C97" s="1294"/>
      <c r="D97" s="546" t="s">
        <v>2228</v>
      </c>
      <c r="E97" s="2092" t="s">
        <v>2249</v>
      </c>
      <c r="F97" s="1974"/>
      <c r="G97" s="1974"/>
      <c r="H97" s="1974"/>
      <c r="I97" s="1974"/>
      <c r="J97" s="1974"/>
      <c r="K97" s="1974"/>
      <c r="L97" s="1974"/>
      <c r="M97" s="1974"/>
      <c r="N97" s="1974"/>
      <c r="O97" s="1974"/>
      <c r="P97" s="1974"/>
      <c r="Q97" s="1974"/>
      <c r="R97" s="1974"/>
      <c r="S97" s="1974"/>
      <c r="T97" s="1974"/>
      <c r="U97" s="1974"/>
      <c r="V97" s="1974"/>
      <c r="W97" s="1974"/>
      <c r="X97" s="1974"/>
      <c r="Y97" s="1974"/>
      <c r="Z97" s="1974"/>
      <c r="AA97" s="1974"/>
      <c r="AB97" s="1974"/>
      <c r="AC97" s="1974"/>
      <c r="AD97" s="1974"/>
      <c r="AE97" s="1974"/>
      <c r="AF97" s="1974"/>
      <c r="AG97" s="1974"/>
      <c r="AH97" s="1974"/>
      <c r="AI97" s="1974"/>
      <c r="AJ97" s="1980"/>
      <c r="AK97" s="543"/>
      <c r="AL97" s="540"/>
      <c r="AM97" s="540"/>
      <c r="AN97" s="535"/>
    </row>
    <row r="98" spans="1:47" s="536" customFormat="1" ht="12.75" customHeight="1">
      <c r="A98" s="538"/>
      <c r="B98" s="539"/>
      <c r="C98" s="539"/>
      <c r="D98" s="539"/>
      <c r="E98" s="1986"/>
      <c r="F98" s="1987"/>
      <c r="G98" s="1987"/>
      <c r="H98" s="1987"/>
      <c r="I98" s="1987"/>
      <c r="J98" s="1987"/>
      <c r="K98" s="1987"/>
      <c r="L98" s="1987"/>
      <c r="M98" s="1987"/>
      <c r="N98" s="1987"/>
      <c r="O98" s="1987"/>
      <c r="P98" s="1987"/>
      <c r="Q98" s="1987"/>
      <c r="R98" s="1987"/>
      <c r="S98" s="1987"/>
      <c r="T98" s="1987"/>
      <c r="U98" s="1987"/>
      <c r="V98" s="1987"/>
      <c r="W98" s="1987"/>
      <c r="X98" s="1987"/>
      <c r="Y98" s="1987"/>
      <c r="Z98" s="1987"/>
      <c r="AA98" s="1987"/>
      <c r="AB98" s="1987"/>
      <c r="AC98" s="1987"/>
      <c r="AD98" s="1987"/>
      <c r="AE98" s="1987"/>
      <c r="AF98" s="1987"/>
      <c r="AG98" s="1987"/>
      <c r="AH98" s="1987"/>
      <c r="AI98" s="1987"/>
      <c r="AJ98" s="1988"/>
      <c r="AK98" s="543"/>
      <c r="AL98" s="540"/>
      <c r="AM98" s="540"/>
      <c r="AN98" s="535"/>
    </row>
    <row r="99" spans="1:47" s="536" customFormat="1" ht="12.75" customHeight="1">
      <c r="A99" s="538"/>
      <c r="B99" s="539"/>
      <c r="C99" s="539"/>
      <c r="D99" s="539"/>
      <c r="E99" s="1986"/>
      <c r="F99" s="1987"/>
      <c r="G99" s="1987"/>
      <c r="H99" s="1987"/>
      <c r="I99" s="1987"/>
      <c r="J99" s="1987"/>
      <c r="K99" s="1987"/>
      <c r="L99" s="1987"/>
      <c r="M99" s="1987"/>
      <c r="N99" s="1987"/>
      <c r="O99" s="1987"/>
      <c r="P99" s="1987"/>
      <c r="Q99" s="1987"/>
      <c r="R99" s="1987"/>
      <c r="S99" s="1987"/>
      <c r="T99" s="1987"/>
      <c r="U99" s="1987"/>
      <c r="V99" s="1987"/>
      <c r="W99" s="1987"/>
      <c r="X99" s="1987"/>
      <c r="Y99" s="1987"/>
      <c r="Z99" s="1987"/>
      <c r="AA99" s="1987"/>
      <c r="AB99" s="1987"/>
      <c r="AC99" s="1987"/>
      <c r="AD99" s="1987"/>
      <c r="AE99" s="1987"/>
      <c r="AF99" s="1987"/>
      <c r="AG99" s="1987"/>
      <c r="AH99" s="1987"/>
      <c r="AI99" s="1987"/>
      <c r="AJ99" s="1988"/>
      <c r="AK99" s="543"/>
      <c r="AL99" s="540"/>
      <c r="AM99" s="540"/>
      <c r="AN99" s="535"/>
    </row>
    <row r="100" spans="1:47" s="536" customFormat="1" ht="12.75" customHeight="1">
      <c r="A100" s="538"/>
      <c r="B100" s="539"/>
      <c r="C100" s="539"/>
      <c r="D100" s="539"/>
      <c r="E100" s="1986"/>
      <c r="F100" s="1987"/>
      <c r="G100" s="1987"/>
      <c r="H100" s="1987"/>
      <c r="I100" s="1987"/>
      <c r="J100" s="1987"/>
      <c r="K100" s="1987"/>
      <c r="L100" s="1987"/>
      <c r="M100" s="1987"/>
      <c r="N100" s="1987"/>
      <c r="O100" s="1987"/>
      <c r="P100" s="1987"/>
      <c r="Q100" s="1987"/>
      <c r="R100" s="1987"/>
      <c r="S100" s="1987"/>
      <c r="T100" s="1987"/>
      <c r="U100" s="1987"/>
      <c r="V100" s="1987"/>
      <c r="W100" s="1987"/>
      <c r="X100" s="1987"/>
      <c r="Y100" s="1987"/>
      <c r="Z100" s="1987"/>
      <c r="AA100" s="1987"/>
      <c r="AB100" s="1987"/>
      <c r="AC100" s="1987"/>
      <c r="AD100" s="1987"/>
      <c r="AE100" s="1987"/>
      <c r="AF100" s="1987"/>
      <c r="AG100" s="1987"/>
      <c r="AH100" s="1987"/>
      <c r="AI100" s="1987"/>
      <c r="AJ100" s="1988"/>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033">
        <f>Application!AC761</f>
        <v>0.47187500000000004</v>
      </c>
      <c r="F102" s="1405"/>
      <c r="G102" s="1405"/>
      <c r="H102" s="1405"/>
      <c r="I102" s="575"/>
      <c r="J102" s="578" t="s">
        <v>2246</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033">
        <f ca="1">SUMIF(Application!AC726:AG760,0.2,Application!G726:J760)/Application!G761+SUMIF(Application!AC726:AG760,0.25,Application!G726:J760)/Application!G761+SUMIF(Application!AC726:AG760,0.3,Application!G726:J760)/Application!G761</f>
        <v>0.125</v>
      </c>
      <c r="F103" s="1405"/>
      <c r="G103" s="1405"/>
      <c r="H103" s="1405"/>
      <c r="I103" s="575"/>
      <c r="J103" s="578" t="s">
        <v>2250</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033">
        <f ca="1">SUMIF(Application!AC726:AG760,0.35,Application!G726:J760)/Application!G761+SUMIF(Application!AC726:AG760,0.4,Application!G726:J760)/Application!G761+SUMIF(Application!AC726:AG760,0.45,Application!G726:J760)/Application!G761+SUMIF(Application!AC726:AG760,0.5,Application!G726:J760)/Application!G761</f>
        <v>0.578125</v>
      </c>
      <c r="F104" s="1405"/>
      <c r="G104" s="1405"/>
      <c r="H104" s="1405"/>
      <c r="I104" s="575"/>
      <c r="J104" s="578" t="s">
        <v>2251</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027">
        <f ca="1">IF(AND(E102&lt;=0.6,OR(AND(E103&gt;=0.1,E104&gt;=0.1),AND(E103&gt;0.1,(E103+E104)&gt;=0.2))),20,0)</f>
        <v>20</v>
      </c>
      <c r="F105" s="1405"/>
      <c r="G105" s="1405"/>
      <c r="H105" s="1405"/>
      <c r="I105" s="551"/>
      <c r="J105" s="585" t="s">
        <v>2248</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2197</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2252</v>
      </c>
      <c r="AK108" s="2013">
        <f ca="1">MAX(AP94,AP105)</f>
        <v>20</v>
      </c>
      <c r="AL108" s="1263"/>
      <c r="AM108" s="1264"/>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2253</v>
      </c>
      <c r="B111" s="539" t="s">
        <v>2254</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011" t="s">
        <v>2221</v>
      </c>
      <c r="AF111" s="1987"/>
      <c r="AG111" s="1987"/>
      <c r="AH111" s="1987"/>
      <c r="AI111" s="1987"/>
      <c r="AJ111" s="1987"/>
      <c r="AK111" s="1987"/>
      <c r="AL111" s="540"/>
      <c r="AM111" s="540"/>
      <c r="AN111" s="535"/>
      <c r="AO111" s="536" t="str">
        <f>Application!B726</f>
        <v>1 Bedroom</v>
      </c>
      <c r="AQ111" s="536">
        <f>Application!O726</f>
        <v>804</v>
      </c>
    </row>
    <row r="112" spans="1:47" s="536" customFormat="1" ht="12.75" customHeight="1">
      <c r="A112" s="540"/>
      <c r="B112" s="539" t="s">
        <v>2243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1230</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1656</v>
      </c>
    </row>
    <row r="114" spans="1:52" s="536" customFormat="1" ht="12.75" customHeight="1">
      <c r="A114" s="540"/>
      <c r="B114" s="1972" t="s">
        <v>969</v>
      </c>
      <c r="C114" s="1294"/>
      <c r="D114" s="546" t="s">
        <v>2224</v>
      </c>
      <c r="E114" s="2092" t="s">
        <v>2255</v>
      </c>
      <c r="F114" s="1974"/>
      <c r="G114" s="1974"/>
      <c r="H114" s="1974"/>
      <c r="I114" s="1974"/>
      <c r="J114" s="1974"/>
      <c r="K114" s="1974"/>
      <c r="L114" s="1974"/>
      <c r="M114" s="1974"/>
      <c r="N114" s="1974"/>
      <c r="O114" s="1974"/>
      <c r="P114" s="1974"/>
      <c r="Q114" s="1974"/>
      <c r="R114" s="1974"/>
      <c r="S114" s="1974"/>
      <c r="T114" s="1974"/>
      <c r="U114" s="1974"/>
      <c r="V114" s="1974"/>
      <c r="W114" s="1974"/>
      <c r="X114" s="1974"/>
      <c r="Y114" s="1974"/>
      <c r="Z114" s="1974"/>
      <c r="AA114" s="1974"/>
      <c r="AB114" s="1974"/>
      <c r="AC114" s="1974"/>
      <c r="AD114" s="1974"/>
      <c r="AE114" s="1974"/>
      <c r="AF114" s="1974"/>
      <c r="AG114" s="1974"/>
      <c r="AH114" s="1974"/>
      <c r="AI114" s="1974"/>
      <c r="AJ114" s="1980"/>
      <c r="AK114" s="540"/>
      <c r="AL114" s="540"/>
      <c r="AM114" s="540"/>
      <c r="AN114" s="535"/>
      <c r="AO114" s="536" t="str">
        <f>Application!B729</f>
        <v>1 Bedroom</v>
      </c>
      <c r="AQ114" s="536">
        <f>Application!O729</f>
        <v>804</v>
      </c>
      <c r="AU114" s="536" t="s">
        <v>2256</v>
      </c>
      <c r="AV114" s="593" t="s">
        <v>1746</v>
      </c>
      <c r="AW114" s="536" t="s">
        <v>2257</v>
      </c>
    </row>
    <row r="115" spans="1:52" s="536" customFormat="1" ht="12.75" customHeight="1">
      <c r="A115" s="540"/>
      <c r="B115" s="539"/>
      <c r="C115" s="539"/>
      <c r="D115" s="539"/>
      <c r="E115" s="1986"/>
      <c r="F115" s="1987"/>
      <c r="G115" s="1987"/>
      <c r="H115" s="1987"/>
      <c r="I115" s="1987"/>
      <c r="J115" s="1987"/>
      <c r="K115" s="1987"/>
      <c r="L115" s="1987"/>
      <c r="M115" s="1987"/>
      <c r="N115" s="1987"/>
      <c r="O115" s="1987"/>
      <c r="P115" s="1987"/>
      <c r="Q115" s="1987"/>
      <c r="R115" s="1987"/>
      <c r="S115" s="1987"/>
      <c r="T115" s="1987"/>
      <c r="U115" s="1987"/>
      <c r="V115" s="1987"/>
      <c r="W115" s="1987"/>
      <c r="X115" s="1987"/>
      <c r="Y115" s="1987"/>
      <c r="Z115" s="1987"/>
      <c r="AA115" s="1987"/>
      <c r="AB115" s="1987"/>
      <c r="AC115" s="1987"/>
      <c r="AD115" s="1987"/>
      <c r="AE115" s="1987"/>
      <c r="AF115" s="1987"/>
      <c r="AG115" s="1987"/>
      <c r="AH115" s="1987"/>
      <c r="AI115" s="1987"/>
      <c r="AJ115" s="1988"/>
      <c r="AK115" s="540"/>
      <c r="AL115" s="540"/>
      <c r="AM115" s="540"/>
      <c r="AN115" s="535"/>
      <c r="AO115" s="536" t="str">
        <f>Application!B730</f>
        <v>1 Bedroom</v>
      </c>
      <c r="AQ115" s="536">
        <f>Application!O730</f>
        <v>1372</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1986"/>
      <c r="F116" s="1987"/>
      <c r="G116" s="1987"/>
      <c r="H116" s="1987"/>
      <c r="I116" s="1987"/>
      <c r="J116" s="1987"/>
      <c r="K116" s="1987"/>
      <c r="L116" s="1987"/>
      <c r="M116" s="1987"/>
      <c r="N116" s="1987"/>
      <c r="O116" s="1987"/>
      <c r="P116" s="1987"/>
      <c r="Q116" s="1987"/>
      <c r="R116" s="1987"/>
      <c r="S116" s="1987"/>
      <c r="T116" s="1987"/>
      <c r="U116" s="1987"/>
      <c r="V116" s="1987"/>
      <c r="W116" s="1987"/>
      <c r="X116" s="1987"/>
      <c r="Y116" s="1987"/>
      <c r="Z116" s="1987"/>
      <c r="AA116" s="1987"/>
      <c r="AB116" s="1987"/>
      <c r="AC116" s="1987"/>
      <c r="AD116" s="1987"/>
      <c r="AE116" s="1987"/>
      <c r="AF116" s="1987"/>
      <c r="AG116" s="1987"/>
      <c r="AH116" s="1987"/>
      <c r="AI116" s="1987"/>
      <c r="AJ116" s="1988"/>
      <c r="AK116" s="540"/>
      <c r="AL116" s="540"/>
      <c r="AM116" s="540"/>
      <c r="AN116" s="535"/>
      <c r="AO116" s="536" t="str">
        <f>Application!B731</f>
        <v>1 Bedroom</v>
      </c>
      <c r="AQ116" s="536">
        <f>Application!O731</f>
        <v>1656</v>
      </c>
      <c r="AU116" s="852" t="str">
        <f>J123</f>
        <v>1-bedroom</v>
      </c>
      <c r="AV116" s="536">
        <f t="array" ref="AV116">SUM(IF(Application!B726:F760="1 Bedroom",Application!G726:J760))</f>
        <v>12</v>
      </c>
      <c r="AW116" s="1006">
        <f>AV116/AV121</f>
        <v>0.1875</v>
      </c>
    </row>
    <row r="117" spans="1:52" s="536" customFormat="1" ht="12.75" customHeight="1">
      <c r="A117" s="540"/>
      <c r="B117" s="539"/>
      <c r="C117" s="539"/>
      <c r="D117" s="539"/>
      <c r="E117" s="1986"/>
      <c r="F117" s="1987"/>
      <c r="G117" s="1987"/>
      <c r="H117" s="1987"/>
      <c r="I117" s="1987"/>
      <c r="J117" s="1987"/>
      <c r="K117" s="1987"/>
      <c r="L117" s="1987"/>
      <c r="M117" s="1987"/>
      <c r="N117" s="1987"/>
      <c r="O117" s="1987"/>
      <c r="P117" s="1987"/>
      <c r="Q117" s="1987"/>
      <c r="R117" s="1987"/>
      <c r="S117" s="1987"/>
      <c r="T117" s="1987"/>
      <c r="U117" s="1987"/>
      <c r="V117" s="1987"/>
      <c r="W117" s="1987"/>
      <c r="X117" s="1987"/>
      <c r="Y117" s="1987"/>
      <c r="Z117" s="1987"/>
      <c r="AA117" s="1987"/>
      <c r="AB117" s="1987"/>
      <c r="AC117" s="1987"/>
      <c r="AD117" s="1987"/>
      <c r="AE117" s="1987"/>
      <c r="AF117" s="1987"/>
      <c r="AG117" s="1987"/>
      <c r="AH117" s="1987"/>
      <c r="AI117" s="1987"/>
      <c r="AJ117" s="1988"/>
      <c r="AK117" s="540"/>
      <c r="AL117" s="540"/>
      <c r="AM117" s="540"/>
      <c r="AN117" s="535"/>
      <c r="AO117" s="536" t="str">
        <f>Application!B732</f>
        <v>1 Bedroom</v>
      </c>
      <c r="AQ117" s="536">
        <f>Application!O732</f>
        <v>1230</v>
      </c>
      <c r="AU117" s="852" t="str">
        <f>O123</f>
        <v>2-bedroom</v>
      </c>
      <c r="AV117" s="536">
        <f t="array" ref="AV117">SUM(IF(Application!B726:F760="2 Bedrooms",Application!G726:J760))</f>
        <v>18</v>
      </c>
      <c r="AW117" s="1006">
        <f>AV117/AV121</f>
        <v>0.28125</v>
      </c>
    </row>
    <row r="118" spans="1:52" s="536" customFormat="1" ht="12.75" customHeight="1">
      <c r="A118" s="540"/>
      <c r="B118" s="539"/>
      <c r="C118" s="539"/>
      <c r="D118" s="539"/>
      <c r="E118" s="1986"/>
      <c r="F118" s="1987"/>
      <c r="G118" s="1987"/>
      <c r="H118" s="1987"/>
      <c r="I118" s="1987"/>
      <c r="J118" s="1987"/>
      <c r="K118" s="1987"/>
      <c r="L118" s="1987"/>
      <c r="M118" s="1987"/>
      <c r="N118" s="1987"/>
      <c r="O118" s="1987"/>
      <c r="P118" s="1987"/>
      <c r="Q118" s="1987"/>
      <c r="R118" s="1987"/>
      <c r="S118" s="1987"/>
      <c r="T118" s="1987"/>
      <c r="U118" s="1987"/>
      <c r="V118" s="1987"/>
      <c r="W118" s="1987"/>
      <c r="X118" s="1987"/>
      <c r="Y118" s="1987"/>
      <c r="Z118" s="1987"/>
      <c r="AA118" s="1987"/>
      <c r="AB118" s="1987"/>
      <c r="AC118" s="1987"/>
      <c r="AD118" s="1987"/>
      <c r="AE118" s="1987"/>
      <c r="AF118" s="1987"/>
      <c r="AG118" s="1987"/>
      <c r="AH118" s="1987"/>
      <c r="AI118" s="1987"/>
      <c r="AJ118" s="1988"/>
      <c r="AK118" s="540"/>
      <c r="AL118" s="540"/>
      <c r="AM118" s="540"/>
      <c r="AN118" s="535"/>
      <c r="AO118" s="536" t="str">
        <f>Application!B733</f>
        <v>1 Bedroom</v>
      </c>
      <c r="AQ118" s="536">
        <f>Application!O733</f>
        <v>1088</v>
      </c>
      <c r="AU118" s="852" t="str">
        <f>T123</f>
        <v>3-bedroom</v>
      </c>
      <c r="AV118" s="536">
        <f t="array" ref="AV118">SUM(IF(Application!B726:F760="3 Bedrooms",Application!G726:J760))</f>
        <v>28</v>
      </c>
      <c r="AW118" s="1006">
        <f>AV118/AV121</f>
        <v>0.4375</v>
      </c>
    </row>
    <row r="119" spans="1:52" s="536" customFormat="1" ht="12.75" customHeight="1">
      <c r="A119" s="540"/>
      <c r="B119" s="539"/>
      <c r="C119" s="539"/>
      <c r="D119" s="539"/>
      <c r="E119" s="1986"/>
      <c r="F119" s="1987"/>
      <c r="G119" s="1987"/>
      <c r="H119" s="1987"/>
      <c r="I119" s="1987"/>
      <c r="J119" s="1987"/>
      <c r="K119" s="1987"/>
      <c r="L119" s="1987"/>
      <c r="M119" s="1987"/>
      <c r="N119" s="1987"/>
      <c r="O119" s="1987"/>
      <c r="P119" s="1987"/>
      <c r="Q119" s="1987"/>
      <c r="R119" s="1987"/>
      <c r="S119" s="1987"/>
      <c r="T119" s="1987"/>
      <c r="U119" s="1987"/>
      <c r="V119" s="1987"/>
      <c r="W119" s="1987"/>
      <c r="X119" s="1987"/>
      <c r="Y119" s="1987"/>
      <c r="Z119" s="1987"/>
      <c r="AA119" s="1987"/>
      <c r="AB119" s="1987"/>
      <c r="AC119" s="1987"/>
      <c r="AD119" s="1987"/>
      <c r="AE119" s="1987"/>
      <c r="AF119" s="1987"/>
      <c r="AG119" s="1987"/>
      <c r="AH119" s="1987"/>
      <c r="AI119" s="1987"/>
      <c r="AJ119" s="1988"/>
      <c r="AK119" s="540"/>
      <c r="AL119" s="540"/>
      <c r="AM119" s="540"/>
      <c r="AN119" s="535"/>
      <c r="AO119" s="536" t="str">
        <f>Application!B734</f>
        <v>2 Bedrooms</v>
      </c>
      <c r="AQ119" s="536">
        <f>Application!O734</f>
        <v>959</v>
      </c>
      <c r="AU119" s="852" t="str">
        <f>Y123</f>
        <v>4-bedroom</v>
      </c>
      <c r="AV119" s="536">
        <f t="array" ref="AV119">SUM(IF(Application!B726:F760="4 Bedrooms",Application!G726:J760))</f>
        <v>6</v>
      </c>
      <c r="AW119" s="1006">
        <f>AV119/AV121</f>
        <v>9.375E-2</v>
      </c>
    </row>
    <row r="120" spans="1:52" s="536" customFormat="1" ht="12.75" customHeight="1">
      <c r="A120" s="540"/>
      <c r="B120" s="539"/>
      <c r="C120" s="539"/>
      <c r="D120" s="539"/>
      <c r="E120" s="1986"/>
      <c r="F120" s="1987"/>
      <c r="G120" s="1987"/>
      <c r="H120" s="1987"/>
      <c r="I120" s="1987"/>
      <c r="J120" s="1987"/>
      <c r="K120" s="1987"/>
      <c r="L120" s="1987"/>
      <c r="M120" s="1987"/>
      <c r="N120" s="1987"/>
      <c r="O120" s="1987"/>
      <c r="P120" s="1987"/>
      <c r="Q120" s="1987"/>
      <c r="R120" s="1987"/>
      <c r="S120" s="1987"/>
      <c r="T120" s="1987"/>
      <c r="U120" s="1987"/>
      <c r="V120" s="1987"/>
      <c r="W120" s="1987"/>
      <c r="X120" s="1987"/>
      <c r="Y120" s="1987"/>
      <c r="Z120" s="1987"/>
      <c r="AA120" s="1987"/>
      <c r="AB120" s="1987"/>
      <c r="AC120" s="1987"/>
      <c r="AD120" s="1987"/>
      <c r="AE120" s="1987"/>
      <c r="AF120" s="1987"/>
      <c r="AG120" s="1987"/>
      <c r="AH120" s="1987"/>
      <c r="AI120" s="1987"/>
      <c r="AJ120" s="1988"/>
      <c r="AK120" s="540"/>
      <c r="AL120" s="540"/>
      <c r="AM120" s="540"/>
      <c r="AN120" s="535"/>
      <c r="AO120" s="536" t="str">
        <f>Application!B735</f>
        <v>2 Bedrooms</v>
      </c>
      <c r="AQ120" s="536">
        <f>Application!O735</f>
        <v>1130</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1986"/>
      <c r="F121" s="1987"/>
      <c r="G121" s="1987"/>
      <c r="H121" s="1987"/>
      <c r="I121" s="1987"/>
      <c r="J121" s="1987"/>
      <c r="K121" s="1987"/>
      <c r="L121" s="1987"/>
      <c r="M121" s="1987"/>
      <c r="N121" s="1987"/>
      <c r="O121" s="1987"/>
      <c r="P121" s="1987"/>
      <c r="Q121" s="1987"/>
      <c r="R121" s="1987"/>
      <c r="S121" s="1987"/>
      <c r="T121" s="1987"/>
      <c r="U121" s="1987"/>
      <c r="V121" s="1987"/>
      <c r="W121" s="1987"/>
      <c r="X121" s="1987"/>
      <c r="Y121" s="1987"/>
      <c r="Z121" s="1987"/>
      <c r="AA121" s="1987"/>
      <c r="AB121" s="1987"/>
      <c r="AC121" s="1987"/>
      <c r="AD121" s="1987"/>
      <c r="AE121" s="1987"/>
      <c r="AF121" s="1987"/>
      <c r="AG121" s="1987"/>
      <c r="AH121" s="1987"/>
      <c r="AI121" s="1987"/>
      <c r="AJ121" s="1988"/>
      <c r="AK121" s="540"/>
      <c r="AL121" s="540"/>
      <c r="AM121" s="540"/>
      <c r="AN121" s="535"/>
      <c r="AO121" s="536" t="str">
        <f>Application!B736</f>
        <v>2 Bedrooms</v>
      </c>
      <c r="AQ121" s="536">
        <f>Application!O736</f>
        <v>959</v>
      </c>
      <c r="AV121" s="536">
        <f>SUM(AV115:AV120)</f>
        <v>64</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1300</v>
      </c>
    </row>
    <row r="123" spans="1:52" s="536" customFormat="1" ht="12.75" customHeight="1">
      <c r="A123" s="540"/>
      <c r="B123" s="539"/>
      <c r="C123" s="540"/>
      <c r="D123" s="540"/>
      <c r="E123" s="2033" t="s">
        <v>2258</v>
      </c>
      <c r="F123" s="1405"/>
      <c r="G123" s="1405"/>
      <c r="H123" s="1405"/>
      <c r="I123" s="575"/>
      <c r="J123" s="2019" t="s">
        <v>2259</v>
      </c>
      <c r="K123" s="1405"/>
      <c r="L123" s="1405"/>
      <c r="M123" s="1405"/>
      <c r="N123" s="575"/>
      <c r="O123" s="2019" t="s">
        <v>2260</v>
      </c>
      <c r="P123" s="1405"/>
      <c r="Q123" s="1405"/>
      <c r="R123" s="1405"/>
      <c r="S123" s="575"/>
      <c r="T123" s="2019" t="s">
        <v>2261</v>
      </c>
      <c r="U123" s="1405"/>
      <c r="V123" s="1405"/>
      <c r="W123" s="1405"/>
      <c r="X123" s="575"/>
      <c r="Y123" s="2019" t="s">
        <v>2262</v>
      </c>
      <c r="Z123" s="1405"/>
      <c r="AA123" s="1405"/>
      <c r="AB123" s="1405"/>
      <c r="AC123" s="575"/>
      <c r="AD123" s="2019" t="s">
        <v>2263</v>
      </c>
      <c r="AE123" s="1405"/>
      <c r="AF123" s="1405"/>
      <c r="AG123" s="1405"/>
      <c r="AH123" s="575"/>
      <c r="AI123" s="575"/>
      <c r="AJ123" s="577"/>
      <c r="AK123" s="540"/>
      <c r="AL123" s="540"/>
      <c r="AM123" s="540"/>
      <c r="AN123" s="535"/>
      <c r="AO123" s="536" t="str">
        <f>Application!B738</f>
        <v>2 Bedrooms</v>
      </c>
      <c r="AQ123" s="536">
        <f>Application!O738</f>
        <v>1641</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t="str">
        <f>Application!B739</f>
        <v>2 Bedrooms</v>
      </c>
      <c r="AQ124" s="536">
        <f>Application!O739</f>
        <v>1981</v>
      </c>
    </row>
    <row r="125" spans="1:52" s="536" customFormat="1" ht="12.75" customHeight="1">
      <c r="A125" s="540"/>
      <c r="B125" s="539"/>
      <c r="C125" s="540"/>
      <c r="D125" s="540"/>
      <c r="E125" s="862" t="s">
        <v>2264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t="str">
        <f>Application!B740</f>
        <v>3 Bedrooms</v>
      </c>
      <c r="AQ125" s="536">
        <f>Application!O740</f>
        <v>1105</v>
      </c>
    </row>
    <row r="126" spans="1:52" s="536" customFormat="1" ht="12.75" customHeight="1">
      <c r="A126" s="540"/>
      <c r="B126" s="539"/>
      <c r="C126" s="540"/>
      <c r="D126" s="540"/>
      <c r="E126" s="2098"/>
      <c r="F126" s="1294"/>
      <c r="G126" s="1294"/>
      <c r="H126" s="1294"/>
      <c r="I126" s="860"/>
      <c r="J126" s="2043">
        <v>1910</v>
      </c>
      <c r="K126" s="1294"/>
      <c r="L126" s="1294"/>
      <c r="M126" s="1294"/>
      <c r="N126" s="860"/>
      <c r="O126" s="2043">
        <v>2132</v>
      </c>
      <c r="P126" s="1294"/>
      <c r="Q126" s="1294"/>
      <c r="R126" s="1294"/>
      <c r="S126" s="860"/>
      <c r="T126" s="2043">
        <v>2636</v>
      </c>
      <c r="U126" s="1294"/>
      <c r="V126" s="1294"/>
      <c r="W126" s="1294"/>
      <c r="X126" s="860"/>
      <c r="Y126" s="2043">
        <v>2891</v>
      </c>
      <c r="Z126" s="1294"/>
      <c r="AA126" s="1294"/>
      <c r="AB126" s="1294"/>
      <c r="AC126" s="860"/>
      <c r="AD126" s="2043"/>
      <c r="AE126" s="1294"/>
      <c r="AF126" s="1294"/>
      <c r="AG126" s="1294"/>
      <c r="AH126" s="575"/>
      <c r="AI126" s="575"/>
      <c r="AJ126" s="577"/>
      <c r="AK126" s="540"/>
      <c r="AL126" s="540"/>
      <c r="AM126" s="540"/>
      <c r="AN126" s="535"/>
      <c r="AO126" s="536" t="str">
        <f>Application!B741</f>
        <v>3 Bedrooms</v>
      </c>
      <c r="AQ126" s="536">
        <f>Application!O741</f>
        <v>1696</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t="str">
        <f>Application!B742</f>
        <v>3 Bedrooms</v>
      </c>
      <c r="AQ127" s="536">
        <f>Application!O742</f>
        <v>1893</v>
      </c>
      <c r="AU127" s="1004"/>
      <c r="AV127" s="1004"/>
      <c r="AW127" s="1004"/>
      <c r="AX127" s="1004"/>
      <c r="AY127" s="1004"/>
      <c r="AZ127" s="1004"/>
    </row>
    <row r="128" spans="1:52" s="536" customFormat="1" ht="12.75" customHeight="1">
      <c r="A128" s="540"/>
      <c r="B128" s="539"/>
      <c r="C128" s="540"/>
      <c r="D128" s="540"/>
      <c r="E128" s="862" t="s">
        <v>2265</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t="str">
        <f>Application!B743</f>
        <v>3 Bedrooms</v>
      </c>
      <c r="AQ128" s="536">
        <f>Application!O743</f>
        <v>2286</v>
      </c>
      <c r="AU128" s="1004"/>
      <c r="AV128" s="1004"/>
      <c r="AW128" s="1004"/>
      <c r="AX128" s="1004"/>
      <c r="AY128" s="1004"/>
      <c r="AZ128" s="1004"/>
    </row>
    <row r="129" spans="1:52" s="536" customFormat="1" ht="12.75" customHeight="1">
      <c r="A129" s="540"/>
      <c r="B129" s="539"/>
      <c r="C129" s="540"/>
      <c r="D129" s="540"/>
      <c r="E129" s="2051">
        <f>Application!DX678</f>
        <v>0</v>
      </c>
      <c r="F129" s="1405"/>
      <c r="G129" s="1405"/>
      <c r="H129" s="1405"/>
      <c r="I129" s="860"/>
      <c r="J129" s="2067">
        <f>Application!EC678</f>
        <v>1324.6666666666665</v>
      </c>
      <c r="K129" s="1405"/>
      <c r="L129" s="1405"/>
      <c r="M129" s="1405"/>
      <c r="N129" s="860"/>
      <c r="O129" s="2067">
        <f>Application!EH678</f>
        <v>1498.6666666666667</v>
      </c>
      <c r="P129" s="1405"/>
      <c r="Q129" s="1405"/>
      <c r="R129" s="1405"/>
      <c r="S129" s="864"/>
      <c r="T129" s="2067">
        <f>Application!EM678</f>
        <v>1787.1785714285711</v>
      </c>
      <c r="U129" s="1405"/>
      <c r="V129" s="1405"/>
      <c r="W129" s="1405"/>
      <c r="X129" s="864"/>
      <c r="Y129" s="2067">
        <f>Application!ER678</f>
        <v>2025.6666666666665</v>
      </c>
      <c r="Z129" s="1405"/>
      <c r="AA129" s="1405"/>
      <c r="AB129" s="1405"/>
      <c r="AC129" s="864"/>
      <c r="AD129" s="2067">
        <f>Application!EW678</f>
        <v>0</v>
      </c>
      <c r="AE129" s="1405"/>
      <c r="AF129" s="1405"/>
      <c r="AG129" s="1405"/>
      <c r="AH129" s="575"/>
      <c r="AI129" s="575"/>
      <c r="AJ129" s="577"/>
      <c r="AK129" s="540"/>
      <c r="AL129" s="540"/>
      <c r="AM129" s="540"/>
      <c r="AN129" s="535"/>
      <c r="AO129" s="536" t="str">
        <f>Application!B744</f>
        <v>3 Bedrooms</v>
      </c>
      <c r="AQ129" s="536">
        <f>Application!O744</f>
        <v>1105</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t="str">
        <f>Application!B745</f>
        <v>3 Bedrooms</v>
      </c>
      <c r="AQ130" s="536">
        <f>Application!O745</f>
        <v>1893</v>
      </c>
      <c r="AU130" s="1004"/>
      <c r="AV130" s="1004"/>
      <c r="AW130" s="1005"/>
      <c r="AX130" s="1005"/>
      <c r="AY130" s="1004"/>
      <c r="AZ130" s="1004"/>
    </row>
    <row r="131" spans="1:52" s="536" customFormat="1" ht="12.75" customHeight="1">
      <c r="A131" s="540"/>
      <c r="B131" s="539"/>
      <c r="C131" s="540"/>
      <c r="D131" s="540"/>
      <c r="E131" s="862" t="s">
        <v>2266</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t="str">
        <f>Application!B746</f>
        <v>3 Bedrooms</v>
      </c>
      <c r="AQ131" s="536">
        <f>Application!O746</f>
        <v>1499</v>
      </c>
      <c r="AU131" s="1004"/>
      <c r="AV131" s="1004"/>
      <c r="AW131" s="1005"/>
      <c r="AX131" s="1005"/>
      <c r="AY131" s="1004"/>
      <c r="AZ131" s="1004"/>
    </row>
    <row r="132" spans="1:52" s="536" customFormat="1" ht="12.75" customHeight="1">
      <c r="A132" s="540"/>
      <c r="B132" s="539"/>
      <c r="C132" s="540"/>
      <c r="D132" s="540"/>
      <c r="E132" s="2021" t="e">
        <f>(E126-E129)/E126</f>
        <v>#DIV/0!</v>
      </c>
      <c r="F132" s="1263"/>
      <c r="G132" s="1263"/>
      <c r="H132" s="1264"/>
      <c r="I132" s="575"/>
      <c r="J132" s="2021">
        <f>(J126-J129)/J126</f>
        <v>0.30645724258289714</v>
      </c>
      <c r="K132" s="1263"/>
      <c r="L132" s="1263"/>
      <c r="M132" s="1264"/>
      <c r="N132" s="575"/>
      <c r="O132" s="2021">
        <f>(O126-O129)/O126</f>
        <v>0.29706066291432143</v>
      </c>
      <c r="P132" s="1263"/>
      <c r="Q132" s="1263"/>
      <c r="R132" s="1264"/>
      <c r="S132" s="575"/>
      <c r="T132" s="2021">
        <f>(T126-T129)/T126</f>
        <v>0.32201116410145253</v>
      </c>
      <c r="U132" s="1263"/>
      <c r="V132" s="1263"/>
      <c r="W132" s="1264"/>
      <c r="X132" s="575"/>
      <c r="Y132" s="2021">
        <f>(Y126-Y129)/Y126</f>
        <v>0.29931972789115652</v>
      </c>
      <c r="Z132" s="1263"/>
      <c r="AA132" s="1263"/>
      <c r="AB132" s="1264"/>
      <c r="AC132" s="575"/>
      <c r="AD132" s="2021" t="e">
        <f>(AD126-AD129)/AD126</f>
        <v>#DIV/0!</v>
      </c>
      <c r="AE132" s="1263"/>
      <c r="AF132" s="1263"/>
      <c r="AG132" s="1264"/>
      <c r="AH132" s="575"/>
      <c r="AI132" s="575"/>
      <c r="AJ132" s="577"/>
      <c r="AK132" s="540"/>
      <c r="AL132" s="540"/>
      <c r="AM132" s="540"/>
      <c r="AN132" s="535"/>
      <c r="AO132" s="536" t="str">
        <f>Application!B747</f>
        <v>3 Bedrooms</v>
      </c>
      <c r="AQ132" s="536">
        <f>Application!O747</f>
        <v>2286</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t="str">
        <f>Application!B748</f>
        <v>4 Bedrooms</v>
      </c>
      <c r="AQ133" s="536">
        <f>Application!O748</f>
        <v>1220</v>
      </c>
      <c r="AU133" s="1004"/>
      <c r="AV133" s="1004"/>
      <c r="AW133" s="1005"/>
      <c r="AX133" s="1005"/>
      <c r="AY133" s="1004"/>
      <c r="AZ133" s="1004"/>
    </row>
    <row r="134" spans="1:52" s="536" customFormat="1" ht="12.75" customHeight="1">
      <c r="A134" s="540"/>
      <c r="B134" s="539"/>
      <c r="C134" s="540"/>
      <c r="D134" s="540"/>
      <c r="E134" s="1000" t="s">
        <v>2267</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t="str">
        <f>Application!B749</f>
        <v>4 Bedrooms</v>
      </c>
      <c r="AQ134" s="536">
        <f>Application!O749</f>
        <v>2099</v>
      </c>
      <c r="AU134" s="1005"/>
      <c r="AV134" s="1004"/>
      <c r="AW134" s="1005"/>
      <c r="AX134" s="1005"/>
      <c r="AY134" s="1004"/>
      <c r="AZ134" s="1004"/>
    </row>
    <row r="135" spans="1:52" s="536" customFormat="1" ht="12.75" customHeight="1">
      <c r="A135" s="540"/>
      <c r="B135" s="539"/>
      <c r="C135" s="540"/>
      <c r="D135" s="540"/>
      <c r="E135" s="1968" t="e">
        <f>IF(((E132-0.1)*AW115)&gt;0,((E132-0.1)*AW115),0)</f>
        <v>#DIV/0!</v>
      </c>
      <c r="F135" s="1263"/>
      <c r="G135" s="1263"/>
      <c r="H135" s="1264"/>
      <c r="I135" s="575"/>
      <c r="J135" s="1968">
        <f>IF(((J132-0.1)*AW116)&gt;0,((J132-0.1)*AW116),0)</f>
        <v>3.8710732984293214E-2</v>
      </c>
      <c r="K135" s="1263"/>
      <c r="L135" s="1263"/>
      <c r="M135" s="1264"/>
      <c r="N135" s="575"/>
      <c r="O135" s="1968">
        <f>IF(((O132-0.1)*AW117)&gt;0,((O132-0.1)*AW117),0)</f>
        <v>5.5423311444652901E-2</v>
      </c>
      <c r="P135" s="1263"/>
      <c r="Q135" s="1263"/>
      <c r="R135" s="1264"/>
      <c r="S135" s="575"/>
      <c r="T135" s="1968">
        <f>IF(((T132-0.1)*AW118)&gt;0,((T132-0.1)*AW118),0)</f>
        <v>9.7129884294385474E-2</v>
      </c>
      <c r="U135" s="1263"/>
      <c r="V135" s="1263"/>
      <c r="W135" s="1264"/>
      <c r="X135" s="575"/>
      <c r="Y135" s="1968">
        <f>IF(((Y132-0.1)*AW119)&gt;0,((Y132-0.1)*AW119),0)</f>
        <v>1.8686224489795924E-2</v>
      </c>
      <c r="Z135" s="1263"/>
      <c r="AA135" s="1263"/>
      <c r="AB135" s="1264"/>
      <c r="AC135" s="575"/>
      <c r="AD135" s="1968" t="e">
        <f>IF(((AD132-0.1)*AW120)&gt;0,((AD132-0.1)*AW120),0)</f>
        <v>#DIV/0!</v>
      </c>
      <c r="AE135" s="1263"/>
      <c r="AF135" s="1263"/>
      <c r="AG135" s="1264"/>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021">
        <f>ROUNDDOWN(SUMIF(E135:AG135,"&gt;0"),2)</f>
        <v>0.2</v>
      </c>
      <c r="F137" s="1263"/>
      <c r="G137" s="1263"/>
      <c r="H137" s="1264"/>
      <c r="I137" s="575"/>
      <c r="J137" s="578" t="s">
        <v>2268</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013">
        <f>IF((E137*100)&gt;10,10,E137*100)</f>
        <v>10</v>
      </c>
      <c r="F138" s="1263"/>
      <c r="G138" s="1263"/>
      <c r="H138" s="1264"/>
      <c r="I138" s="575"/>
      <c r="J138" s="578" t="s">
        <v>2248</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2269</v>
      </c>
      <c r="AK142" s="2013">
        <f>E138</f>
        <v>10</v>
      </c>
      <c r="AL142" s="1263"/>
      <c r="AM142" s="1264"/>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2270</v>
      </c>
      <c r="AE145" s="2011" t="s">
        <v>2221</v>
      </c>
      <c r="AF145" s="2052"/>
      <c r="AG145" s="2052"/>
      <c r="AH145" s="2052"/>
      <c r="AI145" s="2052"/>
      <c r="AJ145" s="2052"/>
      <c r="AK145" s="2052"/>
      <c r="AL145" s="589"/>
      <c r="AN145" s="590"/>
      <c r="AO145" s="536"/>
    </row>
    <row r="146" spans="1:42" s="539" customFormat="1" ht="12.9" customHeight="1">
      <c r="A146" s="538"/>
      <c r="AE146" s="589"/>
      <c r="AF146" s="589"/>
      <c r="AG146" s="589"/>
      <c r="AH146" s="589"/>
      <c r="AI146" s="589"/>
      <c r="AJ146" s="589"/>
      <c r="AK146" s="589"/>
      <c r="AL146" s="589"/>
      <c r="AN146" s="590"/>
    </row>
    <row r="147" spans="1:42" s="536" customFormat="1" ht="12.75" customHeight="1">
      <c r="A147" s="538"/>
      <c r="B147" s="538" t="s">
        <v>2271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002" t="s">
        <v>2272</v>
      </c>
      <c r="AG147" s="1987"/>
      <c r="AH147" s="1987"/>
      <c r="AI147" s="1987"/>
      <c r="AJ147" s="1987"/>
      <c r="AK147" s="1987"/>
      <c r="AL147" s="1987"/>
      <c r="AM147" s="539"/>
      <c r="AN147" s="535"/>
    </row>
    <row r="148" spans="1:42" s="536" customFormat="1" ht="12.75" customHeight="1">
      <c r="A148" s="538"/>
      <c r="B148" s="538" t="s">
        <v>1200</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004" t="s">
        <v>1201</v>
      </c>
      <c r="C149" s="1294"/>
      <c r="D149" s="1294"/>
      <c r="E149" s="1294"/>
      <c r="F149" s="1294"/>
      <c r="G149" s="1294"/>
      <c r="H149" s="1294"/>
      <c r="I149" s="1294"/>
      <c r="J149" s="1294"/>
      <c r="K149" s="1294"/>
      <c r="L149" s="1294"/>
      <c r="M149" s="1294"/>
      <c r="N149" s="1294"/>
      <c r="O149" s="1294"/>
      <c r="P149" s="1294"/>
      <c r="Q149" s="1294"/>
      <c r="R149" s="1294"/>
      <c r="S149" s="1294"/>
      <c r="T149" s="1294"/>
      <c r="U149" s="1294"/>
      <c r="V149" s="1294"/>
      <c r="W149" s="1294"/>
      <c r="X149" s="1294"/>
      <c r="Y149" s="1294"/>
      <c r="Z149" s="1294"/>
      <c r="AA149" s="1294"/>
      <c r="AB149" s="1294"/>
      <c r="AC149" s="1294"/>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444</v>
      </c>
      <c r="AP150" s="544"/>
    </row>
    <row r="151" spans="1:42" s="536" customFormat="1" ht="12.75" customHeight="1">
      <c r="A151" s="538"/>
      <c r="B151" s="539" t="s">
        <v>2273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2274</v>
      </c>
      <c r="AP151" s="489">
        <v>5</v>
      </c>
    </row>
    <row r="152" spans="1:42" s="536" customFormat="1" ht="12.75" customHeight="1">
      <c r="A152" s="538"/>
      <c r="B152" s="1993" t="s">
        <v>2275</v>
      </c>
      <c r="C152" s="1294"/>
      <c r="D152" s="1294"/>
      <c r="E152" s="1294"/>
      <c r="F152" s="1294"/>
      <c r="G152" s="1294"/>
      <c r="H152" s="1294"/>
      <c r="I152" s="1294"/>
      <c r="J152" s="1294"/>
      <c r="K152" s="1294"/>
      <c r="L152" s="1294"/>
      <c r="M152" s="1294"/>
      <c r="N152" s="1294"/>
      <c r="O152" s="1294"/>
      <c r="P152" s="1294"/>
      <c r="Q152" s="1294"/>
      <c r="R152" s="1294"/>
      <c r="S152" s="1294"/>
      <c r="T152" s="1294"/>
      <c r="U152" s="1294"/>
      <c r="V152" s="1294"/>
      <c r="W152" s="1294"/>
      <c r="X152" s="1294"/>
      <c r="Y152" s="1294"/>
      <c r="Z152" s="1294"/>
      <c r="AA152" s="1294"/>
      <c r="AB152" s="1294"/>
      <c r="AC152" s="1294"/>
      <c r="AD152" s="1294"/>
      <c r="AE152" s="1294"/>
      <c r="AF152" s="1294"/>
      <c r="AG152" s="1294"/>
      <c r="AH152" s="1294"/>
      <c r="AI152" s="1294"/>
      <c r="AM152" s="539"/>
      <c r="AN152" s="535"/>
      <c r="AO152" s="476" t="s">
        <v>2275</v>
      </c>
      <c r="AP152" s="489">
        <v>7</v>
      </c>
    </row>
    <row r="153" spans="1:42" s="536" customFormat="1" ht="12.9"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2276</v>
      </c>
      <c r="AP153" s="489">
        <v>7</v>
      </c>
    </row>
    <row r="154" spans="1:42" s="536" customFormat="1" ht="12.75" customHeight="1">
      <c r="A154" s="538"/>
      <c r="B154" s="539" t="s">
        <v>2277</v>
      </c>
      <c r="AB154" s="2048" t="s">
        <v>935</v>
      </c>
      <c r="AC154" s="1294"/>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2278</v>
      </c>
      <c r="AP155" s="489"/>
    </row>
    <row r="156" spans="1:42" s="536" customFormat="1" ht="12.75" customHeight="1">
      <c r="A156" s="538"/>
      <c r="B156" s="538" t="s">
        <v>2279</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2280</v>
      </c>
      <c r="AP156" s="489">
        <v>5</v>
      </c>
    </row>
    <row r="157" spans="1:42" s="536" customFormat="1" ht="12.75" customHeight="1">
      <c r="A157" s="538"/>
      <c r="B157" s="1993" t="s">
        <v>2278</v>
      </c>
      <c r="C157" s="1294"/>
      <c r="D157" s="1294"/>
      <c r="E157" s="1294"/>
      <c r="F157" s="1294"/>
      <c r="G157" s="1294"/>
      <c r="H157" s="1294"/>
      <c r="I157" s="1294"/>
      <c r="J157" s="1294"/>
      <c r="K157" s="1294"/>
      <c r="L157" s="1294"/>
      <c r="M157" s="1294"/>
      <c r="N157" s="1294"/>
      <c r="O157" s="1294"/>
      <c r="P157" s="1294"/>
      <c r="Q157" s="1294"/>
      <c r="R157" s="1294"/>
      <c r="S157" s="1294"/>
      <c r="T157" s="1294"/>
      <c r="U157" s="1294"/>
      <c r="V157" s="1294"/>
      <c r="W157" s="1294"/>
      <c r="X157" s="1294"/>
      <c r="Y157" s="1294"/>
      <c r="Z157" s="1294"/>
      <c r="AA157" s="1294"/>
      <c r="AB157" s="1294"/>
      <c r="AC157" s="1294"/>
      <c r="AD157" s="1294"/>
      <c r="AE157" s="1294"/>
      <c r="AF157" s="1294"/>
      <c r="AG157" s="1294"/>
      <c r="AH157" s="1294"/>
      <c r="AI157" s="1294"/>
      <c r="AJ157" s="1294"/>
      <c r="AN157" s="535"/>
      <c r="AO157" s="476" t="s">
        <v>2281</v>
      </c>
      <c r="AP157" s="489">
        <v>7</v>
      </c>
    </row>
    <row r="158" spans="1:42" s="536" customFormat="1" ht="12.75" customHeight="1">
      <c r="B158" s="539" t="s">
        <v>2282</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080" t="s">
        <v>2283</v>
      </c>
      <c r="C160" s="1987"/>
      <c r="D160" s="1987"/>
      <c r="E160" s="1987"/>
      <c r="F160" s="1987"/>
      <c r="G160" s="1987"/>
      <c r="H160" s="1987"/>
      <c r="I160" s="1987"/>
      <c r="J160" s="1987"/>
      <c r="K160" s="1987"/>
      <c r="L160" s="1987"/>
      <c r="M160" s="1987"/>
      <c r="N160" s="1987"/>
      <c r="O160" s="1987"/>
      <c r="P160" s="1987"/>
      <c r="Q160" s="1987"/>
      <c r="R160" s="1987"/>
      <c r="S160" s="1987"/>
      <c r="T160" s="1987"/>
      <c r="U160" s="1987"/>
      <c r="V160" s="1987"/>
      <c r="W160" s="1987"/>
      <c r="X160" s="1987"/>
      <c r="Y160" s="1987"/>
      <c r="Z160" s="1987"/>
      <c r="AA160" s="1987"/>
      <c r="AB160" s="1987"/>
      <c r="AC160" s="1987"/>
      <c r="AD160" s="1987"/>
      <c r="AE160" s="1987"/>
      <c r="AF160" s="1987"/>
      <c r="AG160" s="1987"/>
      <c r="AH160" s="1987"/>
      <c r="AI160" s="1987"/>
      <c r="AJ160" s="1987"/>
      <c r="AK160" s="1170"/>
      <c r="AM160" s="539"/>
      <c r="AN160" s="535"/>
      <c r="AO160" s="476"/>
      <c r="AP160" s="489"/>
    </row>
    <row r="161" spans="1:42" s="536" customFormat="1" ht="12.75" customHeight="1">
      <c r="B161" s="1987"/>
      <c r="C161" s="1987"/>
      <c r="D161" s="1987"/>
      <c r="E161" s="1987"/>
      <c r="F161" s="1987"/>
      <c r="G161" s="1987"/>
      <c r="H161" s="1987"/>
      <c r="I161" s="1987"/>
      <c r="J161" s="1987"/>
      <c r="K161" s="1987"/>
      <c r="L161" s="1987"/>
      <c r="M161" s="1987"/>
      <c r="N161" s="1987"/>
      <c r="O161" s="1987"/>
      <c r="P161" s="1987"/>
      <c r="Q161" s="1987"/>
      <c r="R161" s="1987"/>
      <c r="S161" s="1987"/>
      <c r="T161" s="1987"/>
      <c r="U161" s="1987"/>
      <c r="V161" s="1987"/>
      <c r="W161" s="1987"/>
      <c r="X161" s="1987"/>
      <c r="Y161" s="1987"/>
      <c r="Z161" s="1987"/>
      <c r="AA161" s="1987"/>
      <c r="AB161" s="1987"/>
      <c r="AC161" s="1987"/>
      <c r="AD161" s="1987"/>
      <c r="AE161" s="1987"/>
      <c r="AF161" s="1987"/>
      <c r="AG161" s="1987"/>
      <c r="AH161" s="1987"/>
      <c r="AI161" s="1987"/>
      <c r="AJ161" s="1987"/>
      <c r="AK161" s="1170"/>
      <c r="AM161" s="539"/>
      <c r="AN161" s="535"/>
      <c r="AO161" s="476"/>
      <c r="AP161" s="489"/>
    </row>
    <row r="162" spans="1:42" s="536" customFormat="1" ht="12.75" customHeight="1">
      <c r="C162" s="2083" t="s">
        <v>2284</v>
      </c>
      <c r="D162" s="1987"/>
      <c r="E162" s="1987"/>
      <c r="F162" s="1987"/>
      <c r="G162" s="1987"/>
      <c r="H162" s="1987"/>
      <c r="I162" s="1987"/>
      <c r="J162" s="1987"/>
      <c r="K162" s="1987"/>
      <c r="L162" s="1987"/>
      <c r="M162" s="1987"/>
      <c r="N162" s="1987"/>
      <c r="O162" s="1987"/>
      <c r="P162" s="1987"/>
      <c r="Q162" s="1987"/>
      <c r="R162" s="1987"/>
      <c r="S162" s="1987"/>
      <c r="T162" s="1987"/>
      <c r="U162" s="1987"/>
      <c r="V162" s="1987"/>
      <c r="W162" s="1987"/>
      <c r="X162" s="1987"/>
      <c r="Y162" s="1987"/>
      <c r="Z162" s="1987"/>
      <c r="AA162" s="1987"/>
      <c r="AB162" s="1987"/>
      <c r="AC162" s="1987"/>
      <c r="AD162" s="1987"/>
      <c r="AE162" s="1987"/>
      <c r="AF162" s="1987"/>
      <c r="AG162" s="1987"/>
      <c r="AH162" s="1987"/>
      <c r="AI162" s="1987"/>
      <c r="AJ162" s="1987"/>
      <c r="AK162" s="1170"/>
      <c r="AM162" s="539"/>
      <c r="AN162" s="535"/>
      <c r="AO162" s="476"/>
      <c r="AP162" s="489"/>
    </row>
    <row r="163" spans="1:42" s="536" customFormat="1" ht="12.75" customHeight="1">
      <c r="B163" s="1170"/>
      <c r="C163" s="2090" t="s">
        <v>2285</v>
      </c>
      <c r="D163" s="1987"/>
      <c r="E163" s="1987"/>
      <c r="F163" s="1987"/>
      <c r="G163" s="1987"/>
      <c r="H163" s="1987"/>
      <c r="I163" s="1987"/>
      <c r="J163" s="1987"/>
      <c r="K163" s="1987"/>
      <c r="L163" s="1987"/>
      <c r="M163" s="1987"/>
      <c r="N163" s="1987"/>
      <c r="O163" s="1987"/>
      <c r="P163" s="1987"/>
      <c r="Q163" s="1987"/>
      <c r="R163" s="1987"/>
      <c r="S163" s="1987"/>
      <c r="T163" s="1987"/>
      <c r="U163" s="1987"/>
      <c r="V163" s="1987"/>
      <c r="W163" s="1987"/>
      <c r="X163" s="1987"/>
      <c r="Y163" s="1987"/>
      <c r="Z163" s="1987"/>
      <c r="AA163" s="1160"/>
      <c r="AB163" s="1160"/>
      <c r="AC163" s="1160"/>
      <c r="AD163" s="1160"/>
      <c r="AE163" s="1160"/>
      <c r="AF163" s="1160"/>
      <c r="AG163" s="1160"/>
      <c r="AH163" s="1160"/>
      <c r="AJ163" s="2048" t="s">
        <v>935</v>
      </c>
      <c r="AK163" s="1294"/>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2286</v>
      </c>
      <c r="AJ165" s="1999">
        <f>IF($AB$154="N/A",VLOOKUP($B$152,$AO$150:$AP$153,2,FALSE),VLOOKUP($B$157,$AO$155:$AP$157,2,FALSE))</f>
        <v>7</v>
      </c>
      <c r="AK165" s="1264"/>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2287</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002" t="s">
        <v>2288</v>
      </c>
      <c r="AG167" s="1975"/>
      <c r="AH167" s="1975"/>
      <c r="AI167" s="1975"/>
      <c r="AJ167" s="1975"/>
      <c r="AK167" s="1975"/>
      <c r="AL167" s="1975"/>
      <c r="AM167" s="601"/>
      <c r="AN167" s="596"/>
    </row>
    <row r="168" spans="1:42" s="549" customFormat="1" ht="12.75" customHeight="1">
      <c r="A168" s="536"/>
      <c r="B168" s="539" t="s">
        <v>2289</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1993" t="s">
        <v>2290</v>
      </c>
      <c r="D169" s="1294"/>
      <c r="E169" s="1294"/>
      <c r="F169" s="1294"/>
      <c r="G169" s="1294"/>
      <c r="H169" s="1294"/>
      <c r="I169" s="1294"/>
      <c r="J169" s="1294"/>
      <c r="K169" s="1294"/>
      <c r="L169" s="1294"/>
      <c r="M169" s="1294"/>
      <c r="N169" s="1294"/>
      <c r="O169" s="1294"/>
      <c r="P169" s="1294"/>
      <c r="Q169" s="1294"/>
      <c r="R169" s="1294"/>
      <c r="S169" s="1294"/>
      <c r="T169" s="1294"/>
      <c r="U169" s="1294"/>
      <c r="V169" s="1294"/>
      <c r="W169" s="1294"/>
      <c r="X169" s="1294"/>
      <c r="Y169" s="1294"/>
      <c r="Z169" s="1294"/>
      <c r="AA169" s="1294"/>
      <c r="AB169" s="1294"/>
      <c r="AC169" s="1294"/>
      <c r="AD169" s="1294"/>
      <c r="AE169" s="1294"/>
      <c r="AF169" s="1294"/>
      <c r="AG169" s="1294"/>
      <c r="AH169" s="1294"/>
      <c r="AI169" s="1294"/>
      <c r="AJ169" s="536"/>
      <c r="AK169" s="536"/>
      <c r="AL169" s="536"/>
      <c r="AM169" s="601"/>
      <c r="AN169" s="595"/>
      <c r="AO169" s="476" t="s">
        <v>444</v>
      </c>
      <c r="AP169" s="476"/>
    </row>
    <row r="170" spans="1:42" s="549" customFormat="1" ht="12.9"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2291</v>
      </c>
      <c r="AP170" s="597">
        <v>2</v>
      </c>
    </row>
    <row r="171" spans="1:42" s="549" customFormat="1" ht="12.75" customHeight="1">
      <c r="A171" s="536"/>
      <c r="B171" s="536"/>
      <c r="C171" s="539" t="s">
        <v>2292</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048" t="s">
        <v>935</v>
      </c>
      <c r="AG171" s="1294"/>
      <c r="AH171" s="536"/>
      <c r="AI171" s="536"/>
      <c r="AJ171" s="536"/>
      <c r="AK171" s="536"/>
      <c r="AL171" s="536"/>
      <c r="AM171" s="601"/>
      <c r="AN171" s="595"/>
      <c r="AO171" s="476" t="s">
        <v>2290</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2293</v>
      </c>
      <c r="AP172" s="597">
        <v>3</v>
      </c>
    </row>
    <row r="173" spans="1:42" s="549" customFormat="1" ht="12.75" customHeight="1">
      <c r="A173" s="536"/>
      <c r="B173" s="536"/>
      <c r="C173" s="1993" t="s">
        <v>2278</v>
      </c>
      <c r="D173" s="1294"/>
      <c r="E173" s="1294"/>
      <c r="F173" s="1294"/>
      <c r="G173" s="1294"/>
      <c r="H173" s="1294"/>
      <c r="I173" s="1294"/>
      <c r="J173" s="1294"/>
      <c r="K173" s="1294"/>
      <c r="L173" s="1294"/>
      <c r="M173" s="1294"/>
      <c r="N173" s="1294"/>
      <c r="O173" s="1294"/>
      <c r="P173" s="1294"/>
      <c r="Q173" s="1294"/>
      <c r="R173" s="1294"/>
      <c r="S173" s="1294"/>
      <c r="T173" s="1294"/>
      <c r="U173" s="1294"/>
      <c r="V173" s="1294"/>
      <c r="W173" s="1294"/>
      <c r="X173" s="1294"/>
      <c r="Y173" s="1294"/>
      <c r="Z173" s="1294"/>
      <c r="AA173" s="1294"/>
      <c r="AB173" s="1294"/>
      <c r="AC173" s="1294"/>
      <c r="AD173" s="1294"/>
      <c r="AE173" s="536"/>
      <c r="AF173" s="536"/>
      <c r="AG173" s="536"/>
      <c r="AH173" s="536"/>
      <c r="AI173" s="536"/>
      <c r="AJ173" s="536"/>
      <c r="AK173" s="536"/>
      <c r="AL173" s="536"/>
      <c r="AM173" s="601"/>
      <c r="AN173" s="595"/>
      <c r="AO173" s="600"/>
      <c r="AP173" s="597"/>
    </row>
    <row r="174" spans="1:42" s="549" customFormat="1" ht="12.75" customHeight="1">
      <c r="A174" s="536"/>
      <c r="B174" s="536"/>
      <c r="C174" s="539" t="s">
        <v>2282</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2294</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2278</v>
      </c>
      <c r="AP176" s="476"/>
    </row>
    <row r="177" spans="1:73" s="549" customFormat="1" ht="12.75" customHeight="1">
      <c r="A177" s="536"/>
      <c r="B177" s="536"/>
      <c r="C177" s="2040" t="str">
        <f>Application!AA344</f>
        <v>FPI Management, Inc.</v>
      </c>
      <c r="D177" s="1405"/>
      <c r="E177" s="1405"/>
      <c r="F177" s="1405"/>
      <c r="G177" s="1405"/>
      <c r="H177" s="1405"/>
      <c r="I177" s="1405"/>
      <c r="J177" s="1405"/>
      <c r="K177" s="1405"/>
      <c r="L177" s="1405"/>
      <c r="M177" s="1405"/>
      <c r="N177" s="1405"/>
      <c r="O177" s="1405"/>
      <c r="P177" s="1405"/>
      <c r="Q177" s="1405"/>
      <c r="R177" s="1405"/>
      <c r="S177" s="1405"/>
      <c r="T177" s="1405"/>
      <c r="U177" s="1405"/>
      <c r="V177" s="1405"/>
      <c r="W177" s="1405"/>
      <c r="X177" s="1405"/>
      <c r="Y177" s="1405"/>
      <c r="Z177" s="1405"/>
      <c r="AA177" s="1405"/>
      <c r="AB177" s="1405"/>
      <c r="AC177" s="1405"/>
      <c r="AD177" s="1405"/>
      <c r="AE177" s="536"/>
      <c r="AF177" s="536"/>
      <c r="AG177" s="536"/>
      <c r="AH177" s="536"/>
      <c r="AI177" s="536"/>
      <c r="AJ177" s="536"/>
      <c r="AK177" s="536"/>
      <c r="AL177" s="536"/>
      <c r="AM177" s="601"/>
      <c r="AN177" s="595"/>
      <c r="AO177" s="476" t="s">
        <v>2295</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2296</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2297</v>
      </c>
      <c r="AJ179" s="2013">
        <f>IF($AF$171="N/A",VLOOKUP($C$169,$AO$169:$AP$172,2,FALSE),VLOOKUP($C$173,$AO$176:$AP$178,2,FALSE))</f>
        <v>3</v>
      </c>
      <c r="AK179" s="126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2298</v>
      </c>
      <c r="AK182" s="2013">
        <f>$AJ$165+$AJ$179</f>
        <v>10</v>
      </c>
      <c r="AL182" s="1263"/>
      <c r="AM182" s="1264"/>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2299</v>
      </c>
      <c r="AQ184" s="610">
        <v>0</v>
      </c>
    </row>
    <row r="185" spans="1:73" s="549" customFormat="1" ht="12.75" customHeight="1">
      <c r="A185" s="538" t="s">
        <v>2300</v>
      </c>
      <c r="B185" s="538" t="s">
        <v>2301</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011" t="s">
        <v>2221</v>
      </c>
      <c r="AF185" s="1975"/>
      <c r="AG185" s="1975"/>
      <c r="AH185" s="1975"/>
      <c r="AI185" s="1975"/>
      <c r="AJ185" s="1975"/>
      <c r="AK185" s="1975"/>
      <c r="AL185" s="589"/>
      <c r="AN185" s="595"/>
      <c r="AP185" s="549" t="s">
        <v>1054</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2302</v>
      </c>
      <c r="AQ186" s="549">
        <v>10</v>
      </c>
    </row>
    <row r="187" spans="1:73" s="549" customFormat="1" ht="12.75" customHeight="1">
      <c r="A187" s="536"/>
      <c r="B187" s="2084" t="s">
        <v>2299</v>
      </c>
      <c r="C187" s="1294"/>
      <c r="D187" s="1294"/>
      <c r="E187" s="1294"/>
      <c r="F187" s="1294"/>
      <c r="G187" s="1294"/>
      <c r="H187" s="1294"/>
      <c r="I187" s="1294"/>
      <c r="J187" s="1294"/>
      <c r="K187" s="1294"/>
      <c r="L187" s="1294"/>
      <c r="M187" s="1294"/>
      <c r="N187" s="1294"/>
      <c r="O187" s="1294"/>
      <c r="P187" s="1294"/>
      <c r="Q187" s="1294"/>
      <c r="R187" s="1294"/>
      <c r="S187" s="1294"/>
      <c r="T187" s="1294"/>
      <c r="U187" s="1294"/>
      <c r="V187" s="1294"/>
      <c r="W187" s="1294"/>
      <c r="X187" s="1294"/>
      <c r="Y187" s="1294"/>
      <c r="Z187" s="1294"/>
      <c r="AA187" s="1294"/>
      <c r="AB187" s="1294"/>
      <c r="AC187" s="1294"/>
      <c r="AD187" s="536"/>
      <c r="AE187" s="536"/>
      <c r="AF187" s="2002" t="s">
        <v>2303</v>
      </c>
      <c r="AG187" s="1975"/>
      <c r="AH187" s="1975"/>
      <c r="AI187" s="1975"/>
      <c r="AJ187" s="1975"/>
      <c r="AK187" s="1975"/>
      <c r="AL187" s="1975"/>
      <c r="AN187" s="595"/>
      <c r="AP187" s="549" t="s">
        <v>1061</v>
      </c>
      <c r="AQ187" s="549">
        <v>10</v>
      </c>
    </row>
    <row r="188" spans="1:73" s="549" customFormat="1" ht="12.75" customHeight="1">
      <c r="A188" s="536"/>
      <c r="B188" s="2090" t="s">
        <v>2304</v>
      </c>
      <c r="C188" s="1975"/>
      <c r="D188" s="1975"/>
      <c r="E188" s="1975"/>
      <c r="F188" s="1975"/>
      <c r="G188" s="1975"/>
      <c r="H188" s="1975"/>
      <c r="I188" s="1975"/>
      <c r="J188" s="1975"/>
      <c r="K188" s="1975"/>
      <c r="L188" s="1975"/>
      <c r="M188" s="1975"/>
      <c r="N188" s="1975"/>
      <c r="O188" s="1975"/>
      <c r="P188" s="1975"/>
      <c r="Q188" s="1975"/>
      <c r="R188" s="1975"/>
      <c r="S188" s="1975"/>
      <c r="T188" s="2004" t="s">
        <v>935</v>
      </c>
      <c r="U188" s="1294"/>
      <c r="V188" s="1294"/>
      <c r="W188" s="1294"/>
      <c r="X188" s="1294"/>
      <c r="Y188" s="1294"/>
      <c r="Z188" s="1294"/>
      <c r="AA188" s="1294"/>
      <c r="AB188" s="1294"/>
      <c r="AC188" s="1294"/>
      <c r="AD188" s="536"/>
      <c r="AE188" s="536"/>
      <c r="AF188" s="536"/>
      <c r="AG188" s="536"/>
      <c r="AH188" s="536"/>
      <c r="AI188" s="536"/>
      <c r="AJ188" s="543"/>
      <c r="AK188" s="593"/>
      <c r="AL188" s="593"/>
      <c r="AM188" s="593"/>
      <c r="AN188" s="595"/>
      <c r="AP188" s="549" t="s">
        <v>1062</v>
      </c>
      <c r="AQ188" s="549">
        <v>10</v>
      </c>
      <c r="AS188" s="549" t="s">
        <v>935</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2305</v>
      </c>
      <c r="AQ189" s="549">
        <v>10</v>
      </c>
      <c r="AS189" s="549" t="s">
        <v>2306</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2307</v>
      </c>
      <c r="AK190" s="1999">
        <f>IF(AK83&gt;0,VLOOKUP($B$187,AP184:AQ190,2,FALSE),0)</f>
        <v>0</v>
      </c>
      <c r="AL190" s="1263"/>
      <c r="AM190" s="1264"/>
      <c r="AN190" s="535"/>
      <c r="AP190" s="549" t="s">
        <v>2308</v>
      </c>
      <c r="AQ190" s="549">
        <v>10</v>
      </c>
      <c r="AS190" s="549" t="s">
        <v>2309</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2310</v>
      </c>
      <c r="B193" s="538" t="s">
        <v>2311</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011" t="s">
        <v>2312</v>
      </c>
      <c r="AF193" s="1536"/>
      <c r="AG193" s="1536"/>
      <c r="AH193" s="1536"/>
      <c r="AI193" s="1536"/>
      <c r="AJ193" s="1536"/>
      <c r="AK193" s="1536"/>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2313</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2314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053"/>
      <c r="C198" s="1294"/>
      <c r="D198" s="1294"/>
      <c r="E198" s="1294"/>
      <c r="F198" s="1294"/>
      <c r="G198" s="1294"/>
      <c r="H198" s="1294"/>
      <c r="I198" s="1294"/>
      <c r="J198" s="1294"/>
      <c r="K198" s="1294"/>
      <c r="L198" s="1294"/>
      <c r="M198" s="1294"/>
      <c r="N198" s="1294"/>
      <c r="O198" s="1294"/>
      <c r="P198" s="1294"/>
      <c r="Q198" s="1294"/>
      <c r="R198" s="1294"/>
      <c r="S198" s="1294"/>
      <c r="T198" s="1294"/>
      <c r="U198" s="1294"/>
      <c r="V198" s="1294"/>
      <c r="W198" s="1294"/>
      <c r="X198" s="1294"/>
      <c r="Y198" s="1294"/>
      <c r="Z198" s="1294"/>
      <c r="AA198" s="1294"/>
      <c r="AB198" s="1294"/>
      <c r="AC198" s="842"/>
      <c r="AD198" s="2026">
        <v>7750000</v>
      </c>
      <c r="AE198" s="1294"/>
      <c r="AF198" s="1294"/>
      <c r="AG198" s="1294"/>
      <c r="AH198" s="1294"/>
      <c r="AI198" s="1294"/>
      <c r="AJ198" s="1294"/>
      <c r="AK198" s="608"/>
    </row>
    <row r="199" spans="1:37" hidden="1">
      <c r="A199" s="603"/>
      <c r="B199" s="2053"/>
      <c r="C199" s="1294"/>
      <c r="D199" s="1294"/>
      <c r="E199" s="1294"/>
      <c r="F199" s="1294"/>
      <c r="G199" s="1294"/>
      <c r="H199" s="1294"/>
      <c r="I199" s="1294"/>
      <c r="J199" s="1294"/>
      <c r="K199" s="1294"/>
      <c r="L199" s="1294"/>
      <c r="M199" s="1294"/>
      <c r="N199" s="1294"/>
      <c r="O199" s="1294"/>
      <c r="P199" s="1294"/>
      <c r="Q199" s="1294"/>
      <c r="R199" s="1294"/>
      <c r="S199" s="1294"/>
      <c r="T199" s="1294"/>
      <c r="U199" s="1294"/>
      <c r="V199" s="1294"/>
      <c r="W199" s="1294"/>
      <c r="X199" s="1294"/>
      <c r="Y199" s="1294"/>
      <c r="Z199" s="1294"/>
      <c r="AA199" s="1294"/>
      <c r="AB199" s="1294"/>
      <c r="AC199" s="842"/>
      <c r="AD199" s="2026"/>
      <c r="AE199" s="1294"/>
      <c r="AF199" s="1294"/>
      <c r="AG199" s="1294"/>
      <c r="AH199" s="1294"/>
      <c r="AI199" s="1294"/>
      <c r="AJ199" s="1294"/>
      <c r="AK199" s="608"/>
    </row>
    <row r="200" spans="1:37" hidden="1">
      <c r="A200" s="603"/>
      <c r="B200" s="2053"/>
      <c r="C200" s="1294"/>
      <c r="D200" s="1294"/>
      <c r="E200" s="1294"/>
      <c r="F200" s="1294"/>
      <c r="G200" s="1294"/>
      <c r="H200" s="1294"/>
      <c r="I200" s="1294"/>
      <c r="J200" s="1294"/>
      <c r="K200" s="1294"/>
      <c r="L200" s="1294"/>
      <c r="M200" s="1294"/>
      <c r="N200" s="1294"/>
      <c r="O200" s="1294"/>
      <c r="P200" s="1294"/>
      <c r="Q200" s="1294"/>
      <c r="R200" s="1294"/>
      <c r="S200" s="1294"/>
      <c r="T200" s="1294"/>
      <c r="U200" s="1294"/>
      <c r="V200" s="1294"/>
      <c r="W200" s="1294"/>
      <c r="X200" s="1294"/>
      <c r="Y200" s="1294"/>
      <c r="Z200" s="1294"/>
      <c r="AA200" s="1294"/>
      <c r="AB200" s="1294"/>
      <c r="AC200" s="842"/>
      <c r="AD200" s="2026"/>
      <c r="AE200" s="1294"/>
      <c r="AF200" s="1294"/>
      <c r="AG200" s="1294"/>
      <c r="AH200" s="1294"/>
      <c r="AI200" s="1294"/>
      <c r="AJ200" s="1294"/>
      <c r="AK200" s="608"/>
    </row>
    <row r="201" spans="1:37" hidden="1">
      <c r="A201" s="603"/>
      <c r="B201" s="2053"/>
      <c r="C201" s="1294"/>
      <c r="D201" s="1294"/>
      <c r="E201" s="1294"/>
      <c r="F201" s="1294"/>
      <c r="G201" s="1294"/>
      <c r="H201" s="1294"/>
      <c r="I201" s="1294"/>
      <c r="J201" s="1294"/>
      <c r="K201" s="1294"/>
      <c r="L201" s="1294"/>
      <c r="M201" s="1294"/>
      <c r="N201" s="1294"/>
      <c r="O201" s="1294"/>
      <c r="P201" s="1294"/>
      <c r="Q201" s="1294"/>
      <c r="R201" s="1294"/>
      <c r="S201" s="1294"/>
      <c r="T201" s="1294"/>
      <c r="U201" s="1294"/>
      <c r="V201" s="1294"/>
      <c r="W201" s="1294"/>
      <c r="X201" s="1294"/>
      <c r="Y201" s="1294"/>
      <c r="Z201" s="1294"/>
      <c r="AA201" s="1294"/>
      <c r="AB201" s="1294"/>
      <c r="AC201" s="842"/>
      <c r="AD201" s="2026"/>
      <c r="AE201" s="1294"/>
      <c r="AF201" s="1294"/>
      <c r="AG201" s="1294"/>
      <c r="AH201" s="1294"/>
      <c r="AI201" s="1294"/>
      <c r="AJ201" s="1294"/>
      <c r="AK201" s="608"/>
    </row>
    <row r="202" spans="1:37" hidden="1">
      <c r="A202" s="603"/>
      <c r="B202" s="2053"/>
      <c r="C202" s="1294"/>
      <c r="D202" s="1294"/>
      <c r="E202" s="1294"/>
      <c r="F202" s="1294"/>
      <c r="G202" s="1294"/>
      <c r="H202" s="1294"/>
      <c r="I202" s="1294"/>
      <c r="J202" s="1294"/>
      <c r="K202" s="1294"/>
      <c r="L202" s="1294"/>
      <c r="M202" s="1294"/>
      <c r="N202" s="1294"/>
      <c r="O202" s="1294"/>
      <c r="P202" s="1294"/>
      <c r="Q202" s="1294"/>
      <c r="R202" s="1294"/>
      <c r="S202" s="1294"/>
      <c r="T202" s="1294"/>
      <c r="U202" s="1294"/>
      <c r="V202" s="1294"/>
      <c r="W202" s="1294"/>
      <c r="X202" s="1294"/>
      <c r="Y202" s="1294"/>
      <c r="Z202" s="1294"/>
      <c r="AA202" s="1294"/>
      <c r="AB202" s="1294"/>
      <c r="AC202" s="842"/>
      <c r="AD202" s="2026"/>
      <c r="AE202" s="1294"/>
      <c r="AF202" s="1294"/>
      <c r="AG202" s="1294"/>
      <c r="AH202" s="1294"/>
      <c r="AI202" s="1294"/>
      <c r="AJ202" s="1294"/>
      <c r="AK202" s="608"/>
    </row>
    <row r="203" spans="1:37" hidden="1">
      <c r="A203" s="603"/>
      <c r="B203" s="2053"/>
      <c r="C203" s="1294"/>
      <c r="D203" s="1294"/>
      <c r="E203" s="1294"/>
      <c r="F203" s="1294"/>
      <c r="G203" s="1294"/>
      <c r="H203" s="1294"/>
      <c r="I203" s="1294"/>
      <c r="J203" s="1294"/>
      <c r="K203" s="1294"/>
      <c r="L203" s="1294"/>
      <c r="M203" s="1294"/>
      <c r="N203" s="1294"/>
      <c r="O203" s="1294"/>
      <c r="P203" s="1294"/>
      <c r="Q203" s="1294"/>
      <c r="R203" s="1294"/>
      <c r="S203" s="1294"/>
      <c r="T203" s="1294"/>
      <c r="U203" s="1294"/>
      <c r="V203" s="1294"/>
      <c r="W203" s="1294"/>
      <c r="X203" s="1294"/>
      <c r="Y203" s="1294"/>
      <c r="Z203" s="1294"/>
      <c r="AA203" s="1294"/>
      <c r="AB203" s="1294"/>
      <c r="AC203" s="842"/>
      <c r="AD203" s="2026"/>
      <c r="AE203" s="1294"/>
      <c r="AF203" s="1294"/>
      <c r="AG203" s="1294"/>
      <c r="AH203" s="1294"/>
      <c r="AI203" s="1294"/>
      <c r="AJ203" s="1294"/>
      <c r="AK203" s="608"/>
    </row>
    <row r="204" spans="1:37" hidden="1">
      <c r="A204" s="603"/>
      <c r="B204" s="2053"/>
      <c r="C204" s="1294"/>
      <c r="D204" s="1294"/>
      <c r="E204" s="1294"/>
      <c r="F204" s="1294"/>
      <c r="G204" s="1294"/>
      <c r="H204" s="1294"/>
      <c r="I204" s="1294"/>
      <c r="J204" s="1294"/>
      <c r="K204" s="1294"/>
      <c r="L204" s="1294"/>
      <c r="M204" s="1294"/>
      <c r="N204" s="1294"/>
      <c r="O204" s="1294"/>
      <c r="P204" s="1294"/>
      <c r="Q204" s="1294"/>
      <c r="R204" s="1294"/>
      <c r="S204" s="1294"/>
      <c r="T204" s="1294"/>
      <c r="U204" s="1294"/>
      <c r="V204" s="1294"/>
      <c r="W204" s="1294"/>
      <c r="X204" s="1294"/>
      <c r="Y204" s="1294"/>
      <c r="Z204" s="1294"/>
      <c r="AA204" s="1294"/>
      <c r="AB204" s="1294"/>
      <c r="AC204" s="842"/>
      <c r="AD204" s="2026"/>
      <c r="AE204" s="1294"/>
      <c r="AF204" s="1294"/>
      <c r="AG204" s="1294"/>
      <c r="AH204" s="1294"/>
      <c r="AI204" s="1294"/>
      <c r="AJ204" s="1294"/>
      <c r="AK204" s="608"/>
    </row>
    <row r="205" spans="1:37" hidden="1">
      <c r="A205" s="603"/>
      <c r="B205" s="2053"/>
      <c r="C205" s="1294"/>
      <c r="D205" s="1294"/>
      <c r="E205" s="1294"/>
      <c r="F205" s="1294"/>
      <c r="G205" s="1294"/>
      <c r="H205" s="1294"/>
      <c r="I205" s="1294"/>
      <c r="J205" s="1294"/>
      <c r="K205" s="1294"/>
      <c r="L205" s="1294"/>
      <c r="M205" s="1294"/>
      <c r="N205" s="1294"/>
      <c r="O205" s="1294"/>
      <c r="P205" s="1294"/>
      <c r="Q205" s="1294"/>
      <c r="R205" s="1294"/>
      <c r="S205" s="1294"/>
      <c r="T205" s="1294"/>
      <c r="U205" s="1294"/>
      <c r="V205" s="1294"/>
      <c r="W205" s="1294"/>
      <c r="X205" s="1294"/>
      <c r="Y205" s="1294"/>
      <c r="Z205" s="1294"/>
      <c r="AA205" s="1294"/>
      <c r="AB205" s="1294"/>
      <c r="AC205" s="842"/>
      <c r="AD205" s="2026"/>
      <c r="AE205" s="1294"/>
      <c r="AF205" s="1294"/>
      <c r="AG205" s="1294"/>
      <c r="AH205" s="1294"/>
      <c r="AI205" s="1294"/>
      <c r="AJ205" s="1294"/>
      <c r="AK205" s="608"/>
    </row>
    <row r="206" spans="1:37" hidden="1">
      <c r="A206" s="603"/>
      <c r="B206" s="2053"/>
      <c r="C206" s="1294"/>
      <c r="D206" s="1294"/>
      <c r="E206" s="1294"/>
      <c r="F206" s="1294"/>
      <c r="G206" s="1294"/>
      <c r="H206" s="1294"/>
      <c r="I206" s="1294"/>
      <c r="J206" s="1294"/>
      <c r="K206" s="1294"/>
      <c r="L206" s="1294"/>
      <c r="M206" s="1294"/>
      <c r="N206" s="1294"/>
      <c r="O206" s="1294"/>
      <c r="P206" s="1294"/>
      <c r="Q206" s="1294"/>
      <c r="R206" s="1294"/>
      <c r="S206" s="1294"/>
      <c r="T206" s="1294"/>
      <c r="U206" s="1294"/>
      <c r="V206" s="1294"/>
      <c r="W206" s="1294"/>
      <c r="X206" s="1294"/>
      <c r="Y206" s="1294"/>
      <c r="Z206" s="1294"/>
      <c r="AA206" s="1294"/>
      <c r="AB206" s="1294"/>
      <c r="AC206" s="842"/>
      <c r="AD206" s="2026"/>
      <c r="AE206" s="1294"/>
      <c r="AF206" s="1294"/>
      <c r="AG206" s="1294"/>
      <c r="AH206" s="1294"/>
      <c r="AI206" s="1294"/>
      <c r="AJ206" s="1294"/>
      <c r="AK206" s="608"/>
    </row>
    <row r="207" spans="1:37" hidden="1">
      <c r="A207" s="603"/>
      <c r="B207" s="2053"/>
      <c r="C207" s="1294"/>
      <c r="D207" s="1294"/>
      <c r="E207" s="1294"/>
      <c r="F207" s="1294"/>
      <c r="G207" s="1294"/>
      <c r="H207" s="1294"/>
      <c r="I207" s="1294"/>
      <c r="J207" s="1294"/>
      <c r="K207" s="1294"/>
      <c r="L207" s="1294"/>
      <c r="M207" s="1294"/>
      <c r="N207" s="1294"/>
      <c r="O207" s="1294"/>
      <c r="P207" s="1294"/>
      <c r="Q207" s="1294"/>
      <c r="R207" s="1294"/>
      <c r="S207" s="1294"/>
      <c r="T207" s="1294"/>
      <c r="U207" s="1294"/>
      <c r="V207" s="1294"/>
      <c r="W207" s="1294"/>
      <c r="X207" s="1294"/>
      <c r="Y207" s="1294"/>
      <c r="Z207" s="1294"/>
      <c r="AA207" s="1294"/>
      <c r="AB207" s="1294"/>
      <c r="AC207" s="842"/>
      <c r="AD207" s="2026"/>
      <c r="AE207" s="1294"/>
      <c r="AF207" s="1294"/>
      <c r="AG207" s="1294"/>
      <c r="AH207" s="1294"/>
      <c r="AI207" s="1294"/>
      <c r="AJ207" s="1294"/>
      <c r="AK207" s="608"/>
    </row>
    <row r="208" spans="1:37" hidden="1">
      <c r="A208" s="603"/>
      <c r="B208" s="2078" t="s">
        <v>2315</v>
      </c>
      <c r="C208" s="1405"/>
      <c r="D208" s="1405"/>
      <c r="E208" s="1405"/>
      <c r="F208" s="1405"/>
      <c r="G208" s="1405"/>
      <c r="H208" s="1405"/>
      <c r="I208" s="1405"/>
      <c r="J208" s="1405"/>
      <c r="K208" s="1405"/>
      <c r="L208" s="1405"/>
      <c r="M208" s="1405"/>
      <c r="N208" s="1405"/>
      <c r="O208" s="1405"/>
      <c r="P208" s="1405"/>
      <c r="Q208" s="1405"/>
      <c r="R208" s="1405"/>
      <c r="S208" s="1405"/>
      <c r="T208" s="1405"/>
      <c r="U208" s="1405"/>
      <c r="V208" s="1405"/>
      <c r="W208" s="1405"/>
      <c r="X208" s="1405"/>
      <c r="Y208" s="1405"/>
      <c r="Z208" s="1405"/>
      <c r="AA208" s="1405"/>
      <c r="AB208" s="1405"/>
      <c r="AC208" s="536"/>
      <c r="AD208" s="2082">
        <f>AB259</f>
        <v>0</v>
      </c>
      <c r="AE208" s="1405"/>
      <c r="AF208" s="1405"/>
      <c r="AG208" s="1405"/>
      <c r="AH208" s="1405"/>
      <c r="AI208" s="1405"/>
      <c r="AJ208" s="1405"/>
      <c r="AK208" s="608"/>
    </row>
    <row r="209" spans="1:37" hidden="1">
      <c r="A209" s="603"/>
      <c r="B209" s="2010" t="s">
        <v>2316</v>
      </c>
      <c r="C209" s="1263"/>
      <c r="D209" s="1263"/>
      <c r="E209" s="1263"/>
      <c r="F209" s="1263"/>
      <c r="G209" s="1263"/>
      <c r="H209" s="1263"/>
      <c r="I209" s="1263"/>
      <c r="J209" s="1263"/>
      <c r="K209" s="1263"/>
      <c r="L209" s="1263"/>
      <c r="M209" s="1263"/>
      <c r="N209" s="1263"/>
      <c r="O209" s="1263"/>
      <c r="P209" s="1263"/>
      <c r="Q209" s="1263"/>
      <c r="R209" s="1263"/>
      <c r="S209" s="1263"/>
      <c r="T209" s="1263"/>
      <c r="U209" s="1263"/>
      <c r="V209" s="1263"/>
      <c r="W209" s="1263"/>
      <c r="X209" s="1263"/>
      <c r="Y209" s="1263"/>
      <c r="Z209" s="1263"/>
      <c r="AA209" s="1263"/>
      <c r="AB209" s="1263"/>
      <c r="AC209" s="842"/>
      <c r="AD209" s="2066">
        <f>'Sources and Uses Budget'!B15</f>
        <v>0</v>
      </c>
      <c r="AE209" s="1405"/>
      <c r="AF209" s="1405"/>
      <c r="AG209" s="1405"/>
      <c r="AH209" s="1405"/>
      <c r="AI209" s="1405"/>
      <c r="AJ209" s="1405"/>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1557</v>
      </c>
      <c r="AC210" s="536"/>
      <c r="AD210" s="2099">
        <f>SUM(AD198:AJ208)-AD209</f>
        <v>7750000</v>
      </c>
      <c r="AE210" s="1263"/>
      <c r="AF210" s="1263"/>
      <c r="AG210" s="1263"/>
      <c r="AH210" s="1263"/>
      <c r="AI210" s="1263"/>
      <c r="AJ210" s="126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2317</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2318</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2319</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2320</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2321</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2322</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2323</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2324</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031" t="s">
        <v>2325</v>
      </c>
      <c r="J221" s="1536"/>
      <c r="K221" s="1536"/>
      <c r="L221" s="536"/>
      <c r="M221" s="536"/>
      <c r="N221" s="536"/>
      <c r="O221" s="536"/>
      <c r="P221" s="536"/>
      <c r="Q221" s="536"/>
      <c r="R221" s="536"/>
      <c r="S221" s="536"/>
      <c r="T221" s="2028" t="s">
        <v>2326</v>
      </c>
      <c r="U221" s="1536"/>
      <c r="V221" s="1536"/>
      <c r="W221" s="1536"/>
      <c r="X221" s="1536"/>
      <c r="Y221" s="1536"/>
      <c r="Z221" s="845"/>
      <c r="AA221" s="489"/>
      <c r="AB221" s="2072" t="s">
        <v>2327</v>
      </c>
      <c r="AC221" s="1536"/>
      <c r="AD221" s="1536"/>
      <c r="AE221" s="1536"/>
      <c r="AF221" s="1536"/>
      <c r="AG221" s="1536"/>
      <c r="AH221" s="823"/>
      <c r="AI221" s="823"/>
      <c r="AJ221" s="823"/>
      <c r="AK221" s="608"/>
    </row>
    <row r="222" spans="1:37" hidden="1">
      <c r="A222" s="603"/>
      <c r="B222" s="2054" t="s">
        <v>2328</v>
      </c>
      <c r="C222" s="1405"/>
      <c r="D222" s="1405"/>
      <c r="E222" s="1405"/>
      <c r="F222" s="1405"/>
      <c r="G222" s="1405"/>
      <c r="I222" s="2020" t="s">
        <v>2329</v>
      </c>
      <c r="J222" s="1405"/>
      <c r="K222" s="1405"/>
      <c r="L222" s="1003"/>
      <c r="N222" s="2041" t="s">
        <v>2330</v>
      </c>
      <c r="O222" s="1405"/>
      <c r="P222" s="1405"/>
      <c r="Q222" s="1405"/>
      <c r="R222" s="1405"/>
      <c r="T222" s="2041" t="s">
        <v>2331</v>
      </c>
      <c r="U222" s="1405"/>
      <c r="V222" s="1405"/>
      <c r="W222" s="1405"/>
      <c r="X222" s="1405"/>
      <c r="Y222" s="1405"/>
      <c r="Z222" s="846"/>
      <c r="AA222" s="489"/>
      <c r="AB222" s="2089" t="s">
        <v>2332</v>
      </c>
      <c r="AC222" s="1405"/>
      <c r="AD222" s="1405"/>
      <c r="AE222" s="1405"/>
      <c r="AF222" s="1405"/>
      <c r="AG222" s="1405"/>
      <c r="AH222" s="823"/>
      <c r="AI222" s="823"/>
      <c r="AJ222" s="823"/>
      <c r="AK222" s="608"/>
    </row>
    <row r="223" spans="1:37" hidden="1">
      <c r="A223" s="603"/>
      <c r="B223" s="2000" t="s">
        <v>954</v>
      </c>
      <c r="C223" s="1374"/>
      <c r="D223" s="1374"/>
      <c r="E223" s="1374"/>
      <c r="F223" s="1374"/>
      <c r="G223" s="1374"/>
      <c r="H223" s="848"/>
      <c r="I223" s="1990"/>
      <c r="J223" s="1470"/>
      <c r="K223" s="1470"/>
      <c r="L223" s="1003"/>
      <c r="N223" s="2024"/>
      <c r="O223" s="1374"/>
      <c r="P223" s="1374"/>
      <c r="Q223" s="1374"/>
      <c r="R223" s="1374"/>
      <c r="T223" s="1994"/>
      <c r="U223" s="1294"/>
      <c r="V223" s="1294"/>
      <c r="W223" s="1294"/>
      <c r="X223" s="1294"/>
      <c r="Y223" s="1294"/>
      <c r="Z223" s="847"/>
      <c r="AA223" s="847"/>
      <c r="AB223" s="2003">
        <f t="shared" ref="AB223:AB232" si="0">MAX(($T223-$N223)*$I223*12,0)</f>
        <v>0</v>
      </c>
      <c r="AC223" s="1536"/>
      <c r="AD223" s="1536"/>
      <c r="AE223" s="1536"/>
      <c r="AF223" s="1536"/>
      <c r="AG223" s="1536"/>
      <c r="AH223" s="823"/>
      <c r="AI223" s="823"/>
      <c r="AJ223" s="823"/>
      <c r="AK223" s="608"/>
    </row>
    <row r="224" spans="1:37" hidden="1">
      <c r="A224" s="603"/>
      <c r="B224" s="2000" t="s">
        <v>2333</v>
      </c>
      <c r="C224" s="1374"/>
      <c r="D224" s="1374"/>
      <c r="E224" s="1374"/>
      <c r="F224" s="1374"/>
      <c r="G224" s="1374"/>
      <c r="I224" s="1990"/>
      <c r="J224" s="1470"/>
      <c r="K224" s="1470"/>
      <c r="L224" s="1003"/>
      <c r="N224" s="2024"/>
      <c r="O224" s="1374"/>
      <c r="P224" s="1374"/>
      <c r="Q224" s="1374"/>
      <c r="R224" s="1374"/>
      <c r="T224" s="1994"/>
      <c r="U224" s="1294"/>
      <c r="V224" s="1294"/>
      <c r="W224" s="1294"/>
      <c r="X224" s="1294"/>
      <c r="Y224" s="1294"/>
      <c r="Z224" s="847"/>
      <c r="AA224" s="847"/>
      <c r="AB224" s="2003">
        <f t="shared" si="0"/>
        <v>0</v>
      </c>
      <c r="AC224" s="1536"/>
      <c r="AD224" s="1536"/>
      <c r="AE224" s="1536"/>
      <c r="AF224" s="1536"/>
      <c r="AG224" s="1536"/>
      <c r="AH224" s="823"/>
      <c r="AI224" s="823"/>
      <c r="AJ224" s="823"/>
      <c r="AK224" s="608"/>
    </row>
    <row r="225" spans="1:37" hidden="1">
      <c r="A225" s="603"/>
      <c r="B225" s="2000" t="s">
        <v>1116</v>
      </c>
      <c r="C225" s="1374"/>
      <c r="D225" s="1374"/>
      <c r="E225" s="1374"/>
      <c r="F225" s="1374"/>
      <c r="G225" s="1374"/>
      <c r="I225" s="1990"/>
      <c r="J225" s="1470"/>
      <c r="K225" s="1470"/>
      <c r="L225" s="1003"/>
      <c r="N225" s="2024"/>
      <c r="O225" s="1374"/>
      <c r="P225" s="1374"/>
      <c r="Q225" s="1374"/>
      <c r="R225" s="1374"/>
      <c r="T225" s="1994"/>
      <c r="U225" s="1294"/>
      <c r="V225" s="1294"/>
      <c r="W225" s="1294"/>
      <c r="X225" s="1294"/>
      <c r="Y225" s="1294"/>
      <c r="Z225" s="847"/>
      <c r="AA225" s="847"/>
      <c r="AB225" s="2003">
        <f t="shared" si="0"/>
        <v>0</v>
      </c>
      <c r="AC225" s="1536"/>
      <c r="AD225" s="1536"/>
      <c r="AE225" s="1536"/>
      <c r="AF225" s="1536"/>
      <c r="AG225" s="1536"/>
      <c r="AH225" s="823"/>
      <c r="AI225" s="823"/>
      <c r="AJ225" s="823"/>
      <c r="AK225" s="608"/>
    </row>
    <row r="226" spans="1:37" hidden="1">
      <c r="A226" s="603"/>
      <c r="B226" s="2000" t="s">
        <v>1116</v>
      </c>
      <c r="C226" s="1374"/>
      <c r="D226" s="1374"/>
      <c r="E226" s="1374"/>
      <c r="F226" s="1374"/>
      <c r="G226" s="1374"/>
      <c r="I226" s="1990"/>
      <c r="J226" s="1470"/>
      <c r="K226" s="1470"/>
      <c r="L226" s="1003"/>
      <c r="N226" s="2024"/>
      <c r="O226" s="1374"/>
      <c r="P226" s="1374"/>
      <c r="Q226" s="1374"/>
      <c r="R226" s="1374"/>
      <c r="T226" s="1994"/>
      <c r="U226" s="1294"/>
      <c r="V226" s="1294"/>
      <c r="W226" s="1294"/>
      <c r="X226" s="1294"/>
      <c r="Y226" s="1294"/>
      <c r="Z226" s="847"/>
      <c r="AA226" s="847"/>
      <c r="AB226" s="2003">
        <f t="shared" si="0"/>
        <v>0</v>
      </c>
      <c r="AC226" s="1536"/>
      <c r="AD226" s="1536"/>
      <c r="AE226" s="1536"/>
      <c r="AF226" s="1536"/>
      <c r="AG226" s="1536"/>
      <c r="AH226" s="823"/>
      <c r="AI226" s="823"/>
      <c r="AJ226" s="823"/>
      <c r="AK226" s="608"/>
    </row>
    <row r="227" spans="1:37" hidden="1">
      <c r="A227" s="603"/>
      <c r="B227" s="2000" t="s">
        <v>1116</v>
      </c>
      <c r="C227" s="1374"/>
      <c r="D227" s="1374"/>
      <c r="E227" s="1374"/>
      <c r="F227" s="1374"/>
      <c r="G227" s="1374"/>
      <c r="I227" s="1990"/>
      <c r="J227" s="1470"/>
      <c r="K227" s="1470"/>
      <c r="L227" s="1010"/>
      <c r="N227" s="2024"/>
      <c r="O227" s="1374"/>
      <c r="P227" s="1374"/>
      <c r="Q227" s="1374"/>
      <c r="R227" s="1374"/>
      <c r="T227" s="1994"/>
      <c r="U227" s="1294"/>
      <c r="V227" s="1294"/>
      <c r="W227" s="1294"/>
      <c r="X227" s="1294"/>
      <c r="Y227" s="1294"/>
      <c r="Z227" s="847"/>
      <c r="AA227" s="847"/>
      <c r="AB227" s="2003">
        <f t="shared" si="0"/>
        <v>0</v>
      </c>
      <c r="AC227" s="1536"/>
      <c r="AD227" s="1536"/>
      <c r="AE227" s="1536"/>
      <c r="AF227" s="1536"/>
      <c r="AG227" s="1536"/>
      <c r="AH227" s="823"/>
      <c r="AI227" s="823"/>
      <c r="AJ227" s="823"/>
      <c r="AK227" s="608"/>
    </row>
    <row r="228" spans="1:37" hidden="1">
      <c r="A228" s="603"/>
      <c r="B228" s="2000" t="s">
        <v>1116</v>
      </c>
      <c r="C228" s="1374"/>
      <c r="D228" s="1374"/>
      <c r="E228" s="1374"/>
      <c r="F228" s="1374"/>
      <c r="G228" s="1374"/>
      <c r="I228" s="1990"/>
      <c r="J228" s="1470"/>
      <c r="K228" s="1470"/>
      <c r="L228" s="1010"/>
      <c r="N228" s="2024"/>
      <c r="O228" s="1374"/>
      <c r="P228" s="1374"/>
      <c r="Q228" s="1374"/>
      <c r="R228" s="1374"/>
      <c r="T228" s="1994"/>
      <c r="U228" s="1294"/>
      <c r="V228" s="1294"/>
      <c r="W228" s="1294"/>
      <c r="X228" s="1294"/>
      <c r="Y228" s="1294"/>
      <c r="Z228" s="847"/>
      <c r="AA228" s="847"/>
      <c r="AB228" s="2003">
        <f t="shared" si="0"/>
        <v>0</v>
      </c>
      <c r="AC228" s="1536"/>
      <c r="AD228" s="1536"/>
      <c r="AE228" s="1536"/>
      <c r="AF228" s="1536"/>
      <c r="AG228" s="1536"/>
      <c r="AH228" s="823"/>
      <c r="AI228" s="823"/>
      <c r="AJ228" s="823"/>
      <c r="AK228" s="608"/>
    </row>
    <row r="229" spans="1:37" hidden="1">
      <c r="A229" s="603"/>
      <c r="B229" s="2000" t="s">
        <v>1116</v>
      </c>
      <c r="C229" s="1374"/>
      <c r="D229" s="1374"/>
      <c r="E229" s="1374"/>
      <c r="F229" s="1374"/>
      <c r="G229" s="1374"/>
      <c r="I229" s="1990"/>
      <c r="J229" s="1470"/>
      <c r="K229" s="1470"/>
      <c r="L229" s="1010"/>
      <c r="N229" s="2024"/>
      <c r="O229" s="1374"/>
      <c r="P229" s="1374"/>
      <c r="Q229" s="1374"/>
      <c r="R229" s="1374"/>
      <c r="T229" s="1994"/>
      <c r="U229" s="1294"/>
      <c r="V229" s="1294"/>
      <c r="W229" s="1294"/>
      <c r="X229" s="1294"/>
      <c r="Y229" s="1294"/>
      <c r="Z229" s="847"/>
      <c r="AA229" s="847"/>
      <c r="AB229" s="2003">
        <f t="shared" si="0"/>
        <v>0</v>
      </c>
      <c r="AC229" s="1536"/>
      <c r="AD229" s="1536"/>
      <c r="AE229" s="1536"/>
      <c r="AF229" s="1536"/>
      <c r="AG229" s="1536"/>
      <c r="AH229" s="823"/>
      <c r="AI229" s="823"/>
      <c r="AJ229" s="823"/>
      <c r="AK229" s="608"/>
    </row>
    <row r="230" spans="1:37" hidden="1">
      <c r="A230" s="603"/>
      <c r="B230" s="2000" t="s">
        <v>1116</v>
      </c>
      <c r="C230" s="1374"/>
      <c r="D230" s="1374"/>
      <c r="E230" s="1374"/>
      <c r="F230" s="1374"/>
      <c r="G230" s="1374"/>
      <c r="I230" s="1990"/>
      <c r="J230" s="1470"/>
      <c r="K230" s="1470"/>
      <c r="L230" s="1010"/>
      <c r="N230" s="2024"/>
      <c r="O230" s="1374"/>
      <c r="P230" s="1374"/>
      <c r="Q230" s="1374"/>
      <c r="R230" s="1374"/>
      <c r="T230" s="1994"/>
      <c r="U230" s="1294"/>
      <c r="V230" s="1294"/>
      <c r="W230" s="1294"/>
      <c r="X230" s="1294"/>
      <c r="Y230" s="1294"/>
      <c r="Z230" s="847"/>
      <c r="AA230" s="847"/>
      <c r="AB230" s="2003">
        <f t="shared" si="0"/>
        <v>0</v>
      </c>
      <c r="AC230" s="1536"/>
      <c r="AD230" s="1536"/>
      <c r="AE230" s="1536"/>
      <c r="AF230" s="1536"/>
      <c r="AG230" s="1536"/>
      <c r="AH230" s="823"/>
      <c r="AI230" s="823"/>
      <c r="AJ230" s="823"/>
      <c r="AK230" s="608"/>
    </row>
    <row r="231" spans="1:37" hidden="1">
      <c r="A231" s="603"/>
      <c r="B231" s="2000" t="s">
        <v>1116</v>
      </c>
      <c r="C231" s="1374"/>
      <c r="D231" s="1374"/>
      <c r="E231" s="1374"/>
      <c r="F231" s="1374"/>
      <c r="G231" s="1374"/>
      <c r="I231" s="1990"/>
      <c r="J231" s="1470"/>
      <c r="K231" s="1470"/>
      <c r="L231" s="1010"/>
      <c r="N231" s="2024"/>
      <c r="O231" s="1374"/>
      <c r="P231" s="1374"/>
      <c r="Q231" s="1374"/>
      <c r="R231" s="1374"/>
      <c r="T231" s="1994"/>
      <c r="U231" s="1294"/>
      <c r="V231" s="1294"/>
      <c r="W231" s="1294"/>
      <c r="X231" s="1294"/>
      <c r="Y231" s="1294"/>
      <c r="Z231" s="847"/>
      <c r="AA231" s="847"/>
      <c r="AB231" s="2003">
        <f t="shared" si="0"/>
        <v>0</v>
      </c>
      <c r="AC231" s="1536"/>
      <c r="AD231" s="1536"/>
      <c r="AE231" s="1536"/>
      <c r="AF231" s="1536"/>
      <c r="AG231" s="1536"/>
      <c r="AH231" s="823"/>
      <c r="AI231" s="823"/>
      <c r="AJ231" s="823"/>
      <c r="AK231" s="608"/>
    </row>
    <row r="232" spans="1:37" hidden="1">
      <c r="A232" s="603"/>
      <c r="B232" s="2000" t="s">
        <v>1116</v>
      </c>
      <c r="C232" s="1374"/>
      <c r="D232" s="1374"/>
      <c r="E232" s="1374"/>
      <c r="F232" s="1374"/>
      <c r="G232" s="1374"/>
      <c r="I232" s="2103"/>
      <c r="J232" s="1374"/>
      <c r="K232" s="1374"/>
      <c r="L232" s="1010"/>
      <c r="N232" s="2024"/>
      <c r="O232" s="1374"/>
      <c r="P232" s="1374"/>
      <c r="Q232" s="1374"/>
      <c r="R232" s="1374"/>
      <c r="T232" s="1994"/>
      <c r="U232" s="1294"/>
      <c r="V232" s="1294"/>
      <c r="W232" s="1294"/>
      <c r="X232" s="1294"/>
      <c r="Y232" s="1294"/>
      <c r="Z232" s="847"/>
      <c r="AA232" s="847"/>
      <c r="AB232" s="2001">
        <f t="shared" si="0"/>
        <v>0</v>
      </c>
      <c r="AC232" s="1405"/>
      <c r="AD232" s="1405"/>
      <c r="AE232" s="1405"/>
      <c r="AF232" s="1405"/>
      <c r="AG232" s="1405"/>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2334</v>
      </c>
      <c r="AA233" s="849"/>
      <c r="AB233" s="2003">
        <f>SUM(AB223:AB232)</f>
        <v>0</v>
      </c>
      <c r="AC233" s="1536"/>
      <c r="AD233" s="1536"/>
      <c r="AE233" s="1536"/>
      <c r="AF233" s="1536"/>
      <c r="AG233" s="1536"/>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28" t="s">
        <v>2335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2336</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2337</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2338</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097"/>
      <c r="AC239" s="1294"/>
      <c r="AD239" s="1294"/>
      <c r="AE239" s="1294"/>
      <c r="AF239" s="1294"/>
      <c r="AG239" s="1294"/>
      <c r="AH239" s="608"/>
      <c r="AI239" s="608"/>
      <c r="AJ239" s="608"/>
      <c r="AK239" s="608"/>
    </row>
    <row r="240" spans="1:37" hidden="1">
      <c r="A240" s="603"/>
      <c r="B240" s="833" t="s">
        <v>2339</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2340</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2341</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097"/>
      <c r="AC242" s="1294"/>
      <c r="AD242" s="1294"/>
      <c r="AE242" s="1294"/>
      <c r="AF242" s="1294"/>
      <c r="AG242" s="1294"/>
      <c r="AH242" s="608"/>
      <c r="AI242" s="608"/>
      <c r="AJ242" s="608"/>
      <c r="AK242" s="608"/>
    </row>
    <row r="243" spans="1:37" hidden="1">
      <c r="A243" s="603"/>
      <c r="B243" s="834" t="s">
        <v>2342</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093"/>
      <c r="AC243" s="1294"/>
      <c r="AD243" s="1294"/>
      <c r="AE243" s="1294"/>
      <c r="AF243" s="1294"/>
      <c r="AG243" s="1294"/>
      <c r="AH243" s="608"/>
      <c r="AI243" s="608"/>
      <c r="AJ243" s="608"/>
      <c r="AK243" s="608"/>
    </row>
    <row r="244" spans="1:37" hidden="1">
      <c r="A244" s="603"/>
      <c r="B244" s="834" t="s">
        <v>2343</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101">
        <f>IFERROR(AB242/AB243,0)</f>
        <v>0</v>
      </c>
      <c r="AC244" s="1263"/>
      <c r="AD244" s="1263"/>
      <c r="AE244" s="1263"/>
      <c r="AF244" s="1263"/>
      <c r="AG244" s="1263"/>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2344</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001">
        <f>MAX(AB239,AB244)</f>
        <v>0</v>
      </c>
      <c r="AC246" s="1405"/>
      <c r="AD246" s="1405"/>
      <c r="AE246" s="1405"/>
      <c r="AF246" s="1405"/>
      <c r="AG246" s="1405"/>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2345</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003">
        <f>AB233+AB246</f>
        <v>0</v>
      </c>
      <c r="AC249" s="1536"/>
      <c r="AD249" s="1536"/>
      <c r="AE249" s="1536"/>
      <c r="AF249" s="1536"/>
      <c r="AG249" s="1536"/>
      <c r="AH249" s="608"/>
      <c r="AI249" s="608"/>
      <c r="AJ249" s="608"/>
      <c r="AK249" s="608"/>
    </row>
    <row r="250" spans="1:37" hidden="1">
      <c r="A250" s="603"/>
      <c r="B250" s="476" t="s">
        <v>2346</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120">
        <v>0.05</v>
      </c>
      <c r="AC250" s="1405"/>
      <c r="AD250" s="1405"/>
      <c r="AE250" s="1405"/>
      <c r="AF250" s="1405"/>
      <c r="AG250" s="1405"/>
      <c r="AH250" s="608"/>
      <c r="AI250" s="608"/>
      <c r="AJ250" s="608"/>
      <c r="AK250" s="608"/>
    </row>
    <row r="251" spans="1:37" hidden="1">
      <c r="A251" s="603"/>
      <c r="B251" s="476" t="s">
        <v>2347</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009">
        <f>AB249-(AB249*AB250)</f>
        <v>0</v>
      </c>
      <c r="AC251" s="1417"/>
      <c r="AD251" s="1417"/>
      <c r="AE251" s="1417"/>
      <c r="AF251" s="1417"/>
      <c r="AG251" s="1417"/>
      <c r="AH251" s="608"/>
      <c r="AI251" s="608"/>
      <c r="AJ251" s="608"/>
      <c r="AK251" s="608"/>
    </row>
    <row r="252" spans="1:37" hidden="1">
      <c r="A252" s="603"/>
      <c r="B252" s="476" t="s">
        <v>2348</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2349</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003">
        <f>AB251/AB257</f>
        <v>0</v>
      </c>
      <c r="AC253" s="1536"/>
      <c r="AD253" s="1536"/>
      <c r="AE253" s="1536"/>
      <c r="AF253" s="1536"/>
      <c r="AG253" s="1536"/>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2350</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072">
        <v>15</v>
      </c>
      <c r="AC255" s="1536"/>
      <c r="AD255" s="1536"/>
      <c r="AE255" s="1536"/>
      <c r="AF255" s="1536"/>
      <c r="AG255" s="1536"/>
      <c r="AH255" s="608"/>
      <c r="AI255" s="608"/>
      <c r="AJ255" s="608"/>
      <c r="AK255" s="608"/>
    </row>
    <row r="256" spans="1:37" hidden="1">
      <c r="A256" s="603"/>
      <c r="B256" s="476" t="s">
        <v>2351</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029">
        <v>0.04</v>
      </c>
      <c r="AC256" s="1536"/>
      <c r="AD256" s="1536"/>
      <c r="AE256" s="1536"/>
      <c r="AF256" s="1536"/>
      <c r="AG256" s="1536"/>
      <c r="AH256" s="608"/>
      <c r="AI256" s="608"/>
      <c r="AJ256" s="608"/>
      <c r="AK256" s="608"/>
    </row>
    <row r="257" spans="1:39" hidden="1">
      <c r="A257" s="603"/>
      <c r="B257" s="476" t="s">
        <v>2352</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060">
        <v>1.1499999999999999</v>
      </c>
      <c r="AC257" s="1536"/>
      <c r="AD257" s="1536"/>
      <c r="AE257" s="1536"/>
      <c r="AF257" s="1536"/>
      <c r="AG257" s="1536"/>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2353</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094">
        <f>PV(AB256/12,AB255*12,-AB253/12, ,0)</f>
        <v>0</v>
      </c>
      <c r="AC259" s="1263"/>
      <c r="AD259" s="1263"/>
      <c r="AE259" s="1263"/>
      <c r="AF259" s="1263"/>
      <c r="AG259" s="1264"/>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2354</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2355</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2356</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2357</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1984">
        <f>IFERROR(('Sources and Uses Budget'!D105/'Sources and Uses Budget'!B105),0)</f>
        <v>0</v>
      </c>
      <c r="AC265" s="1374"/>
      <c r="AD265" s="1374"/>
      <c r="AE265" s="1374"/>
      <c r="AF265" s="1374"/>
      <c r="AG265" s="1375"/>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2358</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047">
        <f>AD210*(1-AB265)</f>
        <v>7750000</v>
      </c>
      <c r="AH267" s="1405"/>
      <c r="AI267" s="1405"/>
      <c r="AJ267" s="1405"/>
      <c r="AK267" s="1405"/>
    </row>
    <row r="268" spans="1:39" hidden="1">
      <c r="A268" s="620"/>
      <c r="B268" s="623" t="s">
        <v>2359</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047">
        <f>'Sources and Uses Budget'!C105</f>
        <v>30975182</v>
      </c>
      <c r="AH268" s="1405"/>
      <c r="AI268" s="1405"/>
      <c r="AJ268" s="1405"/>
      <c r="AK268" s="1405"/>
    </row>
    <row r="269" spans="1:39" hidden="1">
      <c r="A269" s="620"/>
      <c r="B269" s="622" t="s">
        <v>1706</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012">
        <f>ROUNDDOWN(IF(AND(C305="Yes",AK83=10),((AG267*2)/AG268),AG267/AG268),2)</f>
        <v>0.25</v>
      </c>
      <c r="AH269" s="1263"/>
      <c r="AI269" s="1263"/>
      <c r="AJ269" s="1263"/>
      <c r="AK269" s="1263"/>
    </row>
    <row r="270" spans="1:39" hidden="1">
      <c r="A270" s="620"/>
      <c r="B270" s="973" t="s">
        <v>2360</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2361</v>
      </c>
      <c r="AK272" s="2088">
        <f>IFERROR(IF(AG269=0,0,IF((AG269*100)&gt;8,8,(AG269*100))),0)</f>
        <v>8</v>
      </c>
      <c r="AL272" s="1263"/>
      <c r="AM272" s="1264"/>
    </row>
    <row r="273" spans="1:52" ht="13.8" hidden="1" customHeight="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2310</v>
      </c>
      <c r="B275" s="538" t="s">
        <v>2362</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2221</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C277" t="s">
        <v>969</v>
      </c>
      <c r="D277" s="14" t="s">
        <v>2363</v>
      </c>
      <c r="F277" t="s">
        <v>2364</v>
      </c>
      <c r="AG277" t="s">
        <v>2303</v>
      </c>
      <c r="AI277" s="550"/>
      <c r="AJ277" s="549"/>
      <c r="AK277" s="549"/>
      <c r="AL277" s="549"/>
      <c r="AM277" s="549"/>
      <c r="AO277" s="549"/>
    </row>
    <row r="278" spans="1:52" ht="14.25" customHeight="1">
      <c r="AI278" s="550"/>
      <c r="AJ278" s="549"/>
      <c r="AK278" s="549"/>
      <c r="AL278" s="549"/>
      <c r="AM278" s="549"/>
      <c r="AO278" s="549"/>
    </row>
    <row r="279" spans="1:52" ht="13.65" customHeight="1">
      <c r="A279" s="549"/>
      <c r="B279" s="594"/>
      <c r="C279" s="1978" t="s">
        <v>969</v>
      </c>
      <c r="D279" s="1294"/>
      <c r="E279" s="546"/>
      <c r="F279" s="2116" t="s">
        <v>2365</v>
      </c>
      <c r="G279" s="1974"/>
      <c r="H279" s="1974"/>
      <c r="I279" s="1974"/>
      <c r="J279" s="1974"/>
      <c r="K279" s="1974"/>
      <c r="L279" s="1974"/>
      <c r="M279" s="1974"/>
      <c r="N279" s="1974"/>
      <c r="O279" s="1974"/>
      <c r="P279" s="1974"/>
      <c r="Q279" s="1974"/>
      <c r="R279" s="1974"/>
      <c r="S279" s="1974"/>
      <c r="T279" s="1974"/>
      <c r="U279" s="1974"/>
      <c r="V279" s="1974"/>
      <c r="W279" s="1974"/>
      <c r="X279" s="1974"/>
      <c r="Y279" s="1974"/>
      <c r="Z279" s="1974"/>
      <c r="AA279" s="1974"/>
      <c r="AB279" s="1974"/>
      <c r="AC279" s="1974"/>
      <c r="AD279" s="1980"/>
      <c r="AE279" s="549"/>
      <c r="AF279" s="633"/>
      <c r="AG279" s="2091" t="s">
        <v>2303</v>
      </c>
      <c r="AH279" s="1536"/>
      <c r="AI279" s="1536"/>
      <c r="AJ279" s="1536"/>
      <c r="AK279" s="549"/>
      <c r="AL279" s="549"/>
      <c r="AM279" s="549"/>
      <c r="AO279" s="549"/>
    </row>
    <row r="280" spans="1:52" ht="13.65" customHeight="1">
      <c r="A280" s="549"/>
      <c r="B280" s="594"/>
      <c r="C280" s="634"/>
      <c r="D280" s="549"/>
      <c r="E280" s="546"/>
      <c r="F280" s="1986"/>
      <c r="G280" s="1536"/>
      <c r="H280" s="1536"/>
      <c r="I280" s="1536"/>
      <c r="J280" s="1536"/>
      <c r="K280" s="1536"/>
      <c r="L280" s="1536"/>
      <c r="M280" s="1536"/>
      <c r="N280" s="1536"/>
      <c r="O280" s="1536"/>
      <c r="P280" s="1536"/>
      <c r="Q280" s="1536"/>
      <c r="R280" s="1536"/>
      <c r="S280" s="1536"/>
      <c r="T280" s="1536"/>
      <c r="U280" s="1536"/>
      <c r="V280" s="1536"/>
      <c r="W280" s="1536"/>
      <c r="X280" s="1536"/>
      <c r="Y280" s="1536"/>
      <c r="Z280" s="1536"/>
      <c r="AA280" s="1536"/>
      <c r="AB280" s="1536"/>
      <c r="AC280" s="1536"/>
      <c r="AD280" s="1988"/>
      <c r="AE280" s="549"/>
      <c r="AF280" s="633"/>
      <c r="AG280" s="633"/>
      <c r="AH280" s="633"/>
      <c r="AI280" s="633"/>
      <c r="AJ280" s="549"/>
      <c r="AK280" s="549"/>
      <c r="AL280" s="549"/>
      <c r="AM280" s="549"/>
      <c r="AO280" s="549"/>
    </row>
    <row r="281" spans="1:52" ht="13.65" customHeight="1">
      <c r="A281" s="549"/>
      <c r="B281" s="594"/>
      <c r="C281" s="634"/>
      <c r="D281" s="549"/>
      <c r="E281" s="546"/>
      <c r="F281" s="1986"/>
      <c r="G281" s="1536"/>
      <c r="H281" s="1536"/>
      <c r="I281" s="1536"/>
      <c r="J281" s="1536"/>
      <c r="K281" s="1536"/>
      <c r="L281" s="1536"/>
      <c r="M281" s="1536"/>
      <c r="N281" s="1536"/>
      <c r="O281" s="1536"/>
      <c r="P281" s="1536"/>
      <c r="Q281" s="1536"/>
      <c r="R281" s="1536"/>
      <c r="S281" s="1536"/>
      <c r="T281" s="1536"/>
      <c r="U281" s="1536"/>
      <c r="V281" s="1536"/>
      <c r="W281" s="1536"/>
      <c r="X281" s="1536"/>
      <c r="Y281" s="1536"/>
      <c r="Z281" s="1536"/>
      <c r="AA281" s="1536"/>
      <c r="AB281" s="1536"/>
      <c r="AC281" s="1536"/>
      <c r="AD281" s="1988"/>
      <c r="AE281" s="549"/>
      <c r="AF281" s="633"/>
      <c r="AG281" s="633"/>
      <c r="AH281" s="633"/>
      <c r="AI281" s="633"/>
      <c r="AJ281" s="549"/>
      <c r="AK281" s="549"/>
      <c r="AL281" s="549"/>
      <c r="AM281" s="549"/>
      <c r="AO281" s="549"/>
    </row>
    <row r="282" spans="1:52" ht="13.65" customHeight="1">
      <c r="A282" s="549"/>
      <c r="B282" s="594"/>
      <c r="C282" s="634"/>
      <c r="D282" s="549"/>
      <c r="E282" s="546"/>
      <c r="F282" s="198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988"/>
      <c r="AE282" s="549"/>
      <c r="AF282" s="633"/>
      <c r="AG282" s="633"/>
      <c r="AH282" s="633"/>
      <c r="AI282" s="633"/>
      <c r="AJ282" s="549"/>
      <c r="AK282" s="549"/>
      <c r="AL282" s="549"/>
      <c r="AM282" s="549"/>
      <c r="AO282" s="549"/>
    </row>
    <row r="283" spans="1:52" ht="13.65" customHeight="1">
      <c r="A283" s="549"/>
      <c r="B283" s="594"/>
      <c r="C283" s="634"/>
      <c r="D283" s="549"/>
      <c r="E283" s="546"/>
      <c r="F283" s="198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988"/>
      <c r="AE283" s="549"/>
      <c r="AF283" s="633"/>
      <c r="AG283" s="633"/>
      <c r="AH283" s="633"/>
      <c r="AI283" s="633"/>
      <c r="AJ283" s="549"/>
      <c r="AK283" s="549"/>
      <c r="AL283" s="549"/>
      <c r="AM283" s="549"/>
      <c r="AO283" s="549"/>
    </row>
    <row r="284" spans="1:52">
      <c r="A284" s="549"/>
      <c r="B284" s="594"/>
      <c r="C284" s="634"/>
      <c r="D284" s="549"/>
      <c r="E284" s="546"/>
      <c r="F284" s="1986"/>
      <c r="G284" s="1536"/>
      <c r="H284" s="1536"/>
      <c r="I284" s="1536"/>
      <c r="J284" s="1536"/>
      <c r="K284" s="1536"/>
      <c r="L284" s="1536"/>
      <c r="M284" s="1536"/>
      <c r="N284" s="1536"/>
      <c r="O284" s="1536"/>
      <c r="P284" s="1536"/>
      <c r="Q284" s="1536"/>
      <c r="R284" s="1536"/>
      <c r="S284" s="1536"/>
      <c r="T284" s="1536"/>
      <c r="U284" s="1536"/>
      <c r="V284" s="1536"/>
      <c r="W284" s="1536"/>
      <c r="X284" s="1536"/>
      <c r="Y284" s="1536"/>
      <c r="Z284" s="1536"/>
      <c r="AA284" s="1536"/>
      <c r="AB284" s="1536"/>
      <c r="AC284" s="1536"/>
      <c r="AD284" s="1988"/>
      <c r="AE284" s="549"/>
      <c r="AF284" s="633"/>
      <c r="AG284" s="633"/>
      <c r="AH284" s="633"/>
      <c r="AI284" s="633"/>
      <c r="AJ284" s="549"/>
      <c r="AK284" s="549"/>
      <c r="AL284" s="549"/>
      <c r="AM284" s="549"/>
      <c r="AO284" s="549"/>
      <c r="AP284" s="635"/>
    </row>
    <row r="285" spans="1:52">
      <c r="A285" s="549"/>
      <c r="B285" s="594"/>
      <c r="C285" s="634"/>
      <c r="D285" s="549"/>
      <c r="E285" s="546"/>
      <c r="F285" s="1986"/>
      <c r="G285" s="1536"/>
      <c r="H285" s="1536"/>
      <c r="I285" s="1536"/>
      <c r="J285" s="1536"/>
      <c r="K285" s="1536"/>
      <c r="L285" s="1536"/>
      <c r="M285" s="1536"/>
      <c r="N285" s="1536"/>
      <c r="O285" s="1536"/>
      <c r="P285" s="1536"/>
      <c r="Q285" s="1536"/>
      <c r="R285" s="1536"/>
      <c r="S285" s="1536"/>
      <c r="T285" s="1536"/>
      <c r="U285" s="1536"/>
      <c r="V285" s="1536"/>
      <c r="W285" s="1536"/>
      <c r="X285" s="1536"/>
      <c r="Y285" s="1536"/>
      <c r="Z285" s="1536"/>
      <c r="AA285" s="1536"/>
      <c r="AB285" s="1536"/>
      <c r="AC285" s="1536"/>
      <c r="AD285" s="1988"/>
      <c r="AE285" s="549"/>
      <c r="AF285" s="633"/>
      <c r="AG285" s="633"/>
      <c r="AH285" s="633"/>
      <c r="AI285" s="633"/>
      <c r="AJ285" s="549"/>
      <c r="AK285" s="549"/>
      <c r="AL285" s="549"/>
      <c r="AM285" s="549"/>
      <c r="AO285" s="549"/>
      <c r="AP285" s="635"/>
    </row>
    <row r="286" spans="1:52" ht="13.65" customHeight="1">
      <c r="A286" s="549"/>
      <c r="B286" s="594"/>
      <c r="C286" s="2049"/>
      <c r="D286" s="1293"/>
      <c r="E286" s="546"/>
      <c r="F286" s="1981"/>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549"/>
      <c r="AF286" s="633"/>
      <c r="AG286" s="2091"/>
      <c r="AH286" s="1536"/>
      <c r="AI286" s="1536"/>
      <c r="AJ286" s="1536"/>
      <c r="AK286" s="549"/>
      <c r="AL286" s="549"/>
      <c r="AM286" s="549"/>
    </row>
    <row r="287" spans="1:52" ht="13.65"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008" t="s">
        <v>2366</v>
      </c>
      <c r="C289" s="1536"/>
      <c r="D289" s="1536"/>
      <c r="E289" s="1536"/>
      <c r="F289" s="1536"/>
      <c r="G289" s="1536"/>
      <c r="H289" s="1536"/>
      <c r="I289" s="1536"/>
      <c r="J289" s="1536"/>
      <c r="K289" s="1536"/>
      <c r="L289" s="1536"/>
      <c r="M289" s="1536"/>
      <c r="N289" s="1536"/>
      <c r="O289" s="1536"/>
      <c r="P289" s="1536"/>
      <c r="Q289" s="1536"/>
      <c r="R289" s="1536"/>
      <c r="S289" s="1536"/>
      <c r="T289" s="1536"/>
      <c r="U289" s="1536"/>
      <c r="V289" s="1536"/>
      <c r="W289" s="1536"/>
      <c r="X289" s="1536"/>
      <c r="Y289" s="1536"/>
      <c r="Z289" s="1536"/>
      <c r="AA289" s="1536"/>
      <c r="AB289" s="1536"/>
      <c r="AC289" s="1536"/>
      <c r="AD289" s="1536"/>
      <c r="AE289" s="1536"/>
      <c r="AF289" s="1536"/>
      <c r="AG289" s="1536"/>
      <c r="AH289" s="1536"/>
      <c r="AI289" s="1536"/>
      <c r="AJ289" s="1536"/>
      <c r="AK289" s="1536"/>
      <c r="AL289" s="1536"/>
      <c r="AM289" s="549"/>
      <c r="AN289" s="73"/>
    </row>
    <row r="290" spans="1:49">
      <c r="A290" s="549"/>
      <c r="B290" s="1536"/>
      <c r="C290" s="1536"/>
      <c r="D290" s="1536"/>
      <c r="E290" s="1536"/>
      <c r="F290" s="1536"/>
      <c r="G290" s="1536"/>
      <c r="H290" s="1536"/>
      <c r="I290" s="1536"/>
      <c r="J290" s="1536"/>
      <c r="K290" s="1536"/>
      <c r="L290" s="1536"/>
      <c r="M290" s="1536"/>
      <c r="N290" s="1536"/>
      <c r="O290" s="1536"/>
      <c r="P290" s="1536"/>
      <c r="Q290" s="1536"/>
      <c r="R290" s="1536"/>
      <c r="S290" s="1536"/>
      <c r="T290" s="1536"/>
      <c r="U290" s="1536"/>
      <c r="V290" s="1536"/>
      <c r="W290" s="1536"/>
      <c r="X290" s="1536"/>
      <c r="Y290" s="1536"/>
      <c r="Z290" s="1536"/>
      <c r="AA290" s="1536"/>
      <c r="AB290" s="1536"/>
      <c r="AC290" s="1536"/>
      <c r="AD290" s="1536"/>
      <c r="AE290" s="1536"/>
      <c r="AF290" s="1536"/>
      <c r="AG290" s="1536"/>
      <c r="AH290" s="1536"/>
      <c r="AI290" s="1536"/>
      <c r="AJ290" s="1536"/>
      <c r="AK290" s="1536"/>
      <c r="AL290" s="1536"/>
      <c r="AM290" s="549"/>
      <c r="AN290" s="73"/>
    </row>
    <row r="291" spans="1:49">
      <c r="A291" s="549"/>
      <c r="B291" s="1536"/>
      <c r="C291" s="1536"/>
      <c r="D291" s="1536"/>
      <c r="E291" s="1536"/>
      <c r="F291" s="1536"/>
      <c r="G291" s="1536"/>
      <c r="H291" s="1536"/>
      <c r="I291" s="1536"/>
      <c r="J291" s="1536"/>
      <c r="K291" s="1536"/>
      <c r="L291" s="1536"/>
      <c r="M291" s="1536"/>
      <c r="N291" s="1536"/>
      <c r="O291" s="1536"/>
      <c r="P291" s="1536"/>
      <c r="Q291" s="1536"/>
      <c r="R291" s="1536"/>
      <c r="S291" s="1536"/>
      <c r="T291" s="1536"/>
      <c r="U291" s="1536"/>
      <c r="V291" s="1536"/>
      <c r="W291" s="1536"/>
      <c r="X291" s="1536"/>
      <c r="Y291" s="1536"/>
      <c r="Z291" s="1536"/>
      <c r="AA291" s="1536"/>
      <c r="AB291" s="1536"/>
      <c r="AC291" s="1536"/>
      <c r="AD291" s="1536"/>
      <c r="AE291" s="1536"/>
      <c r="AF291" s="1536"/>
      <c r="AG291" s="1536"/>
      <c r="AH291" s="1536"/>
      <c r="AI291" s="1536"/>
      <c r="AJ291" s="1536"/>
      <c r="AK291" s="1536"/>
      <c r="AL291" s="1536"/>
      <c r="AM291" s="549"/>
      <c r="AN291" s="73"/>
    </row>
    <row r="292" spans="1:49">
      <c r="A292" s="549"/>
      <c r="B292" s="1536"/>
      <c r="C292" s="1536"/>
      <c r="D292" s="1536"/>
      <c r="E292" s="1536"/>
      <c r="F292" s="1536"/>
      <c r="G292" s="1536"/>
      <c r="H292" s="1536"/>
      <c r="I292" s="1536"/>
      <c r="J292" s="1536"/>
      <c r="K292" s="1536"/>
      <c r="L292" s="1536"/>
      <c r="M292" s="1536"/>
      <c r="N292" s="1536"/>
      <c r="O292" s="1536"/>
      <c r="P292" s="1536"/>
      <c r="Q292" s="1536"/>
      <c r="R292" s="1536"/>
      <c r="S292" s="1536"/>
      <c r="T292" s="1536"/>
      <c r="U292" s="1536"/>
      <c r="V292" s="1536"/>
      <c r="W292" s="1536"/>
      <c r="X292" s="1536"/>
      <c r="Y292" s="1536"/>
      <c r="Z292" s="1536"/>
      <c r="AA292" s="1536"/>
      <c r="AB292" s="1536"/>
      <c r="AC292" s="1536"/>
      <c r="AD292" s="1536"/>
      <c r="AE292" s="1536"/>
      <c r="AF292" s="1536"/>
      <c r="AG292" s="1536"/>
      <c r="AH292" s="1536"/>
      <c r="AI292" s="1536"/>
      <c r="AJ292" s="1536"/>
      <c r="AK292" s="1536"/>
      <c r="AL292" s="1536"/>
      <c r="AM292" s="549"/>
      <c r="AN292" s="73"/>
    </row>
    <row r="293" spans="1:49">
      <c r="A293" s="549"/>
      <c r="B293" s="1536"/>
      <c r="C293" s="1536"/>
      <c r="D293" s="1536"/>
      <c r="E293" s="1536"/>
      <c r="F293" s="1536"/>
      <c r="G293" s="1536"/>
      <c r="H293" s="1536"/>
      <c r="I293" s="1536"/>
      <c r="J293" s="1536"/>
      <c r="K293" s="1536"/>
      <c r="L293" s="1536"/>
      <c r="M293" s="1536"/>
      <c r="N293" s="1536"/>
      <c r="O293" s="1536"/>
      <c r="P293" s="1536"/>
      <c r="Q293" s="1536"/>
      <c r="R293" s="1536"/>
      <c r="S293" s="1536"/>
      <c r="T293" s="1536"/>
      <c r="U293" s="1536"/>
      <c r="V293" s="1536"/>
      <c r="W293" s="1536"/>
      <c r="X293" s="1536"/>
      <c r="Y293" s="1536"/>
      <c r="Z293" s="1536"/>
      <c r="AA293" s="1536"/>
      <c r="AB293" s="1536"/>
      <c r="AC293" s="1536"/>
      <c r="AD293" s="1536"/>
      <c r="AE293" s="1536"/>
      <c r="AF293" s="1536"/>
      <c r="AG293" s="1536"/>
      <c r="AH293" s="1536"/>
      <c r="AI293" s="1536"/>
      <c r="AJ293" s="1536"/>
      <c r="AK293" s="1536"/>
      <c r="AL293" s="1536"/>
      <c r="AM293" s="549"/>
      <c r="AN293" s="73"/>
    </row>
    <row r="294" spans="1:49">
      <c r="A294" s="549"/>
      <c r="B294" s="1536"/>
      <c r="C294" s="1536"/>
      <c r="D294" s="1536"/>
      <c r="E294" s="1536"/>
      <c r="F294" s="1536"/>
      <c r="G294" s="1536"/>
      <c r="H294" s="1536"/>
      <c r="I294" s="1536"/>
      <c r="J294" s="1536"/>
      <c r="K294" s="1536"/>
      <c r="L294" s="1536"/>
      <c r="M294" s="1536"/>
      <c r="N294" s="1536"/>
      <c r="O294" s="1536"/>
      <c r="P294" s="1536"/>
      <c r="Q294" s="1536"/>
      <c r="R294" s="1536"/>
      <c r="S294" s="1536"/>
      <c r="T294" s="1536"/>
      <c r="U294" s="1536"/>
      <c r="V294" s="1536"/>
      <c r="W294" s="1536"/>
      <c r="X294" s="1536"/>
      <c r="Y294" s="1536"/>
      <c r="Z294" s="1536"/>
      <c r="AA294" s="1536"/>
      <c r="AB294" s="1536"/>
      <c r="AC294" s="1536"/>
      <c r="AD294" s="1536"/>
      <c r="AE294" s="1536"/>
      <c r="AF294" s="1536"/>
      <c r="AG294" s="1536"/>
      <c r="AH294" s="1536"/>
      <c r="AI294" s="1536"/>
      <c r="AJ294" s="1536"/>
      <c r="AK294" s="1536"/>
      <c r="AL294" s="1536"/>
      <c r="AM294" s="549"/>
      <c r="AN294" s="73"/>
    </row>
    <row r="295" spans="1:49">
      <c r="A295" s="549"/>
      <c r="B295" s="1536"/>
      <c r="C295" s="1536"/>
      <c r="D295" s="1536"/>
      <c r="E295" s="1536"/>
      <c r="F295" s="1536"/>
      <c r="G295" s="1536"/>
      <c r="H295" s="1536"/>
      <c r="I295" s="1536"/>
      <c r="J295" s="1536"/>
      <c r="K295" s="1536"/>
      <c r="L295" s="1536"/>
      <c r="M295" s="1536"/>
      <c r="N295" s="1536"/>
      <c r="O295" s="1536"/>
      <c r="P295" s="1536"/>
      <c r="Q295" s="1536"/>
      <c r="R295" s="1536"/>
      <c r="S295" s="1536"/>
      <c r="T295" s="1536"/>
      <c r="U295" s="1536"/>
      <c r="V295" s="1536"/>
      <c r="W295" s="1536"/>
      <c r="X295" s="1536"/>
      <c r="Y295" s="1536"/>
      <c r="Z295" s="1536"/>
      <c r="AA295" s="1536"/>
      <c r="AB295" s="1536"/>
      <c r="AC295" s="1536"/>
      <c r="AD295" s="1536"/>
      <c r="AE295" s="1536"/>
      <c r="AF295" s="1536"/>
      <c r="AG295" s="1536"/>
      <c r="AH295" s="1536"/>
      <c r="AI295" s="1536"/>
      <c r="AJ295" s="1536"/>
      <c r="AK295" s="1536"/>
      <c r="AL295" s="1536"/>
      <c r="AM295" s="549"/>
      <c r="AN295" s="73"/>
    </row>
    <row r="296" spans="1:49">
      <c r="A296" s="549"/>
      <c r="B296" s="1536"/>
      <c r="C296" s="1536"/>
      <c r="D296" s="1536"/>
      <c r="E296" s="1536"/>
      <c r="F296" s="1536"/>
      <c r="G296" s="1536"/>
      <c r="H296" s="1536"/>
      <c r="I296" s="1536"/>
      <c r="J296" s="1536"/>
      <c r="K296" s="1536"/>
      <c r="L296" s="1536"/>
      <c r="M296" s="1536"/>
      <c r="N296" s="1536"/>
      <c r="O296" s="1536"/>
      <c r="P296" s="1536"/>
      <c r="Q296" s="1536"/>
      <c r="R296" s="1536"/>
      <c r="S296" s="1536"/>
      <c r="T296" s="1536"/>
      <c r="U296" s="1536"/>
      <c r="V296" s="1536"/>
      <c r="W296" s="1536"/>
      <c r="X296" s="1536"/>
      <c r="Y296" s="1536"/>
      <c r="Z296" s="1536"/>
      <c r="AA296" s="1536"/>
      <c r="AB296" s="1536"/>
      <c r="AC296" s="1536"/>
      <c r="AD296" s="1536"/>
      <c r="AE296" s="1536"/>
      <c r="AF296" s="1536"/>
      <c r="AG296" s="1536"/>
      <c r="AH296" s="1536"/>
      <c r="AI296" s="1536"/>
      <c r="AJ296" s="1536"/>
      <c r="AK296" s="1536"/>
      <c r="AL296" s="153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2367</v>
      </c>
      <c r="AK298" s="2088">
        <f>IF($C$279="yes",10,0)</f>
        <v>10</v>
      </c>
      <c r="AL298" s="1263"/>
      <c r="AM298" s="1264"/>
      <c r="AN298" s="73"/>
    </row>
    <row r="299" spans="1:49" ht="13.8" customHeight="1" thickBot="1"/>
    <row r="300" spans="1:49" ht="13.8" customHeight="1"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2368</v>
      </c>
      <c r="B301" s="538" t="s">
        <v>2369</v>
      </c>
      <c r="AH301" s="589" t="s">
        <v>2221</v>
      </c>
    </row>
    <row r="302" spans="1:49" ht="15" customHeight="1">
      <c r="B302" s="539"/>
    </row>
    <row r="303" spans="1:49" ht="15" customHeight="1">
      <c r="B303" s="539" t="s">
        <v>2222</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486" t="s">
        <v>2370</v>
      </c>
      <c r="B305" s="1536"/>
      <c r="C305" s="2048" t="s">
        <v>935</v>
      </c>
      <c r="D305" s="1294"/>
      <c r="E305" s="546"/>
      <c r="F305" s="2087" t="s">
        <v>2371</v>
      </c>
      <c r="G305" s="1974"/>
      <c r="H305" s="1974"/>
      <c r="I305" s="1974"/>
      <c r="J305" s="1974"/>
      <c r="K305" s="1974"/>
      <c r="L305" s="1974"/>
      <c r="M305" s="1974"/>
      <c r="N305" s="1974"/>
      <c r="O305" s="1974"/>
      <c r="P305" s="1974"/>
      <c r="Q305" s="1974"/>
      <c r="R305" s="1974"/>
      <c r="S305" s="1974"/>
      <c r="T305" s="1974"/>
      <c r="U305" s="1974"/>
      <c r="V305" s="1974"/>
      <c r="W305" s="1974"/>
      <c r="X305" s="1974"/>
      <c r="Y305" s="1974"/>
      <c r="Z305" s="1974"/>
      <c r="AA305" s="1974"/>
      <c r="AB305" s="1974"/>
      <c r="AC305" s="1974"/>
      <c r="AD305" s="1980"/>
      <c r="AE305" s="640"/>
      <c r="AF305" s="549"/>
      <c r="AG305" s="2052" t="s">
        <v>2372</v>
      </c>
      <c r="AH305" s="1536"/>
      <c r="AI305" s="1536"/>
      <c r="AJ305" s="1536"/>
      <c r="AK305" s="1536"/>
      <c r="AL305" s="549"/>
      <c r="AM305" s="549"/>
      <c r="AN305" s="73"/>
      <c r="AO305" s="14"/>
      <c r="AP305" s="30"/>
      <c r="AS305" s="568"/>
      <c r="AT305" s="568"/>
      <c r="AU305" s="568"/>
      <c r="AV305" s="32"/>
      <c r="AW305" s="32"/>
    </row>
    <row r="306" spans="1:49">
      <c r="A306" s="638"/>
      <c r="B306" s="594"/>
      <c r="F306" s="1986"/>
      <c r="G306" s="1536"/>
      <c r="H306" s="1536"/>
      <c r="I306" s="1536"/>
      <c r="J306" s="1536"/>
      <c r="K306" s="1536"/>
      <c r="L306" s="1536"/>
      <c r="M306" s="1536"/>
      <c r="N306" s="1536"/>
      <c r="O306" s="1536"/>
      <c r="P306" s="1536"/>
      <c r="Q306" s="1536"/>
      <c r="R306" s="1536"/>
      <c r="S306" s="1536"/>
      <c r="T306" s="1536"/>
      <c r="U306" s="1536"/>
      <c r="V306" s="1536"/>
      <c r="W306" s="1536"/>
      <c r="X306" s="1536"/>
      <c r="Y306" s="1536"/>
      <c r="Z306" s="1536"/>
      <c r="AA306" s="1536"/>
      <c r="AB306" s="1536"/>
      <c r="AC306" s="1536"/>
      <c r="AD306" s="198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1986"/>
      <c r="G307" s="1536"/>
      <c r="H307" s="1536"/>
      <c r="I307" s="1536"/>
      <c r="J307" s="1536"/>
      <c r="K307" s="1536"/>
      <c r="L307" s="1536"/>
      <c r="M307" s="1536"/>
      <c r="N307" s="1536"/>
      <c r="O307" s="1536"/>
      <c r="P307" s="1536"/>
      <c r="Q307" s="1536"/>
      <c r="R307" s="1536"/>
      <c r="S307" s="1536"/>
      <c r="T307" s="1536"/>
      <c r="U307" s="1536"/>
      <c r="V307" s="1536"/>
      <c r="W307" s="1536"/>
      <c r="X307" s="1536"/>
      <c r="Y307" s="1536"/>
      <c r="Z307" s="1536"/>
      <c r="AA307" s="1536"/>
      <c r="AB307" s="1536"/>
      <c r="AC307" s="1536"/>
      <c r="AD307" s="198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006" t="s">
        <v>2373</v>
      </c>
      <c r="G308" s="1536"/>
      <c r="H308" s="1536"/>
      <c r="I308" s="1536"/>
      <c r="J308" s="1536"/>
      <c r="K308" s="1536"/>
      <c r="L308" s="1536"/>
      <c r="M308" s="1536"/>
      <c r="N308" s="1536"/>
      <c r="O308" s="1536"/>
      <c r="P308" s="1536"/>
      <c r="Q308" s="1536"/>
      <c r="R308" s="1536"/>
      <c r="S308" s="1536"/>
      <c r="T308" s="1536"/>
      <c r="U308" s="1536"/>
      <c r="V308" s="1536"/>
      <c r="W308" s="1536"/>
      <c r="X308" s="1536"/>
      <c r="Y308" s="1536"/>
      <c r="Z308" s="1536"/>
      <c r="AA308" s="1536"/>
      <c r="AB308" s="1536"/>
      <c r="AC308" s="1536"/>
      <c r="AD308" s="1988"/>
      <c r="AE308" s="640"/>
      <c r="AF308" s="550"/>
      <c r="AH308" s="550"/>
      <c r="AI308" s="550"/>
      <c r="AJ308" s="549"/>
      <c r="AK308" s="549"/>
      <c r="AL308" s="549"/>
      <c r="AM308" s="549"/>
      <c r="AN308" s="73"/>
      <c r="AO308" s="14"/>
      <c r="AP308" s="609">
        <f>MAX(AP306,AP307)</f>
        <v>0</v>
      </c>
      <c r="AQ308" s="572" t="s">
        <v>2227</v>
      </c>
      <c r="AS308" s="568"/>
      <c r="AT308" s="568"/>
      <c r="AU308" s="568"/>
      <c r="AV308" s="32"/>
      <c r="AW308" s="32"/>
    </row>
    <row r="309" spans="1:49">
      <c r="A309" s="638"/>
      <c r="B309" s="594"/>
      <c r="F309" s="1986"/>
      <c r="G309" s="1536"/>
      <c r="H309" s="1536"/>
      <c r="I309" s="1536"/>
      <c r="J309" s="1536"/>
      <c r="K309" s="1536"/>
      <c r="L309" s="1536"/>
      <c r="M309" s="1536"/>
      <c r="N309" s="1536"/>
      <c r="O309" s="1536"/>
      <c r="P309" s="1536"/>
      <c r="Q309" s="1536"/>
      <c r="R309" s="1536"/>
      <c r="S309" s="1536"/>
      <c r="T309" s="1536"/>
      <c r="U309" s="1536"/>
      <c r="V309" s="1536"/>
      <c r="W309" s="1536"/>
      <c r="X309" s="1536"/>
      <c r="Y309" s="1536"/>
      <c r="Z309" s="1536"/>
      <c r="AA309" s="1536"/>
      <c r="AB309" s="1536"/>
      <c r="AC309" s="1536"/>
      <c r="AD309" s="198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006" t="s">
        <v>2374</v>
      </c>
      <c r="G310" s="1536"/>
      <c r="H310" s="1536"/>
      <c r="I310" s="1536"/>
      <c r="J310" s="1536"/>
      <c r="K310" s="1536"/>
      <c r="L310" s="1536"/>
      <c r="M310" s="1536"/>
      <c r="N310" s="1536"/>
      <c r="O310" s="1536"/>
      <c r="P310" s="1536"/>
      <c r="Q310" s="1536"/>
      <c r="R310" s="1536"/>
      <c r="S310" s="1536"/>
      <c r="T310" s="1536"/>
      <c r="U310" s="1536"/>
      <c r="V310" s="1536"/>
      <c r="W310" s="1536"/>
      <c r="X310" s="1536"/>
      <c r="Y310" s="1536"/>
      <c r="Z310" s="1536"/>
      <c r="AA310" s="1536"/>
      <c r="AB310" s="1536"/>
      <c r="AC310" s="1536"/>
      <c r="AD310" s="198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1986"/>
      <c r="G311" s="1536"/>
      <c r="H311" s="1536"/>
      <c r="I311" s="1536"/>
      <c r="J311" s="1536"/>
      <c r="K311" s="1536"/>
      <c r="L311" s="1536"/>
      <c r="M311" s="1536"/>
      <c r="N311" s="1536"/>
      <c r="O311" s="1536"/>
      <c r="P311" s="1536"/>
      <c r="Q311" s="1536"/>
      <c r="R311" s="1536"/>
      <c r="S311" s="1536"/>
      <c r="T311" s="1536"/>
      <c r="U311" s="1536"/>
      <c r="V311" s="1536"/>
      <c r="W311" s="1536"/>
      <c r="X311" s="1536"/>
      <c r="Y311" s="1536"/>
      <c r="Z311" s="1536"/>
      <c r="AA311" s="1536"/>
      <c r="AB311" s="1536"/>
      <c r="AC311" s="1536"/>
      <c r="AD311" s="198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050" t="s">
        <v>2375</v>
      </c>
      <c r="G312" s="1536"/>
      <c r="H312" s="1536"/>
      <c r="I312" s="1536"/>
      <c r="J312" s="1536"/>
      <c r="K312" s="1536"/>
      <c r="L312" s="1536"/>
      <c r="M312" s="1536"/>
      <c r="N312" s="1536"/>
      <c r="O312" s="1536"/>
      <c r="P312" s="1536"/>
      <c r="Q312" s="1536"/>
      <c r="R312" s="1536"/>
      <c r="S312" s="1536"/>
      <c r="T312" s="1536"/>
      <c r="U312" s="1536"/>
      <c r="V312" s="1536"/>
      <c r="W312" s="1536"/>
      <c r="X312" s="1536"/>
      <c r="Y312" s="1536"/>
      <c r="Z312" s="1536"/>
      <c r="AA312" s="1536"/>
      <c r="AB312" s="1536"/>
      <c r="AC312" s="1536"/>
      <c r="AD312" s="198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1981"/>
      <c r="G313" s="1982"/>
      <c r="H313" s="1982"/>
      <c r="I313" s="1982"/>
      <c r="J313" s="1982"/>
      <c r="K313" s="1982"/>
      <c r="L313" s="1982"/>
      <c r="M313" s="1982"/>
      <c r="N313" s="1982"/>
      <c r="O313" s="1982"/>
      <c r="P313" s="1982"/>
      <c r="Q313" s="1982"/>
      <c r="R313" s="1982"/>
      <c r="S313" s="1982"/>
      <c r="T313" s="1982"/>
      <c r="U313" s="1982"/>
      <c r="V313" s="1982"/>
      <c r="W313" s="1982"/>
      <c r="X313" s="1982"/>
      <c r="Y313" s="1982"/>
      <c r="Z313" s="1982"/>
      <c r="AA313" s="1982"/>
      <c r="AB313" s="1982"/>
      <c r="AC313" s="1982"/>
      <c r="AD313" s="1983"/>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486" t="s">
        <v>2376</v>
      </c>
      <c r="B315" s="1536"/>
      <c r="C315" s="1978" t="s">
        <v>935</v>
      </c>
      <c r="D315" s="1294"/>
      <c r="E315" s="546"/>
      <c r="F315" s="967" t="s">
        <v>2377</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2378</v>
      </c>
      <c r="AH315" s="550"/>
      <c r="AI315" s="550"/>
      <c r="AJ315" s="549"/>
      <c r="AK315" s="549"/>
      <c r="AL315" s="549"/>
      <c r="AM315" s="549"/>
      <c r="AN315" s="643"/>
      <c r="AO315" s="14"/>
    </row>
    <row r="316" spans="1:49">
      <c r="A316" s="549"/>
      <c r="B316" s="550"/>
      <c r="C316" s="549"/>
      <c r="D316" s="550"/>
      <c r="E316" s="549"/>
      <c r="F316" s="2050" t="s">
        <v>2379</v>
      </c>
      <c r="G316" s="1536"/>
      <c r="H316" s="1536"/>
      <c r="I316" s="1536"/>
      <c r="J316" s="1536"/>
      <c r="K316" s="1536"/>
      <c r="L316" s="1536"/>
      <c r="M316" s="1536"/>
      <c r="N316" s="1536"/>
      <c r="O316" s="1536"/>
      <c r="P316" s="1536"/>
      <c r="Q316" s="1536"/>
      <c r="R316" s="1536"/>
      <c r="S316" s="1536"/>
      <c r="T316" s="1536"/>
      <c r="U316" s="1536"/>
      <c r="V316" s="1536"/>
      <c r="W316" s="1536"/>
      <c r="X316" s="1536"/>
      <c r="Y316" s="1536"/>
      <c r="Z316" s="1536"/>
      <c r="AA316" s="1536"/>
      <c r="AB316" s="1536"/>
      <c r="AC316" s="1536"/>
      <c r="AD316" s="1988"/>
      <c r="AE316" s="550"/>
      <c r="AF316" s="550"/>
      <c r="AG316" s="550"/>
      <c r="AH316" s="550"/>
      <c r="AI316" s="550"/>
      <c r="AJ316" s="549"/>
      <c r="AK316" s="549"/>
      <c r="AL316" s="549"/>
      <c r="AM316" s="549"/>
      <c r="AR316" s="644"/>
    </row>
    <row r="317" spans="1:49" ht="15" customHeight="1">
      <c r="A317" s="549"/>
      <c r="B317" s="550"/>
      <c r="C317" s="549"/>
      <c r="D317" s="550"/>
      <c r="E317" s="549"/>
      <c r="F317" s="1986"/>
      <c r="G317" s="1536"/>
      <c r="H317" s="1536"/>
      <c r="I317" s="1536"/>
      <c r="J317" s="1536"/>
      <c r="K317" s="1536"/>
      <c r="L317" s="1536"/>
      <c r="M317" s="1536"/>
      <c r="N317" s="1536"/>
      <c r="O317" s="1536"/>
      <c r="P317" s="1536"/>
      <c r="Q317" s="1536"/>
      <c r="R317" s="1536"/>
      <c r="S317" s="1536"/>
      <c r="T317" s="1536"/>
      <c r="U317" s="1536"/>
      <c r="V317" s="1536"/>
      <c r="W317" s="1536"/>
      <c r="X317" s="1536"/>
      <c r="Y317" s="1536"/>
      <c r="Z317" s="1536"/>
      <c r="AA317" s="1536"/>
      <c r="AB317" s="1536"/>
      <c r="AC317" s="1536"/>
      <c r="AD317" s="1988"/>
      <c r="AE317" s="550"/>
      <c r="AF317" s="550"/>
      <c r="AG317" s="550"/>
      <c r="AH317" s="550"/>
      <c r="AI317" s="550"/>
      <c r="AJ317" s="549"/>
      <c r="AK317" s="549"/>
      <c r="AL317" s="549"/>
      <c r="AM317" s="549"/>
      <c r="AR317" s="644"/>
    </row>
    <row r="318" spans="1:49">
      <c r="A318" s="549"/>
      <c r="B318" s="550"/>
      <c r="C318" s="549"/>
      <c r="D318" s="550"/>
      <c r="E318" s="549"/>
      <c r="F318" s="1986"/>
      <c r="G318" s="1536"/>
      <c r="H318" s="1536"/>
      <c r="I318" s="1536"/>
      <c r="J318" s="1536"/>
      <c r="K318" s="1536"/>
      <c r="L318" s="1536"/>
      <c r="M318" s="1536"/>
      <c r="N318" s="1536"/>
      <c r="O318" s="1536"/>
      <c r="P318" s="1536"/>
      <c r="Q318" s="1536"/>
      <c r="R318" s="1536"/>
      <c r="S318" s="1536"/>
      <c r="T318" s="1536"/>
      <c r="U318" s="1536"/>
      <c r="V318" s="1536"/>
      <c r="W318" s="1536"/>
      <c r="X318" s="1536"/>
      <c r="Y318" s="1536"/>
      <c r="Z318" s="1536"/>
      <c r="AA318" s="1536"/>
      <c r="AB318" s="1536"/>
      <c r="AC318" s="1536"/>
      <c r="AD318" s="198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1981"/>
      <c r="G319" s="1982"/>
      <c r="H319" s="1982"/>
      <c r="I319" s="1982"/>
      <c r="J319" s="1982"/>
      <c r="K319" s="1982"/>
      <c r="L319" s="1982"/>
      <c r="M319" s="1982"/>
      <c r="N319" s="1982"/>
      <c r="O319" s="1982"/>
      <c r="P319" s="1982"/>
      <c r="Q319" s="1982"/>
      <c r="R319" s="1982"/>
      <c r="S319" s="1982"/>
      <c r="T319" s="1982"/>
      <c r="U319" s="1982"/>
      <c r="V319" s="1982"/>
      <c r="W319" s="1982"/>
      <c r="X319" s="1982"/>
      <c r="Y319" s="1982"/>
      <c r="Z319" s="1982"/>
      <c r="AA319" s="1982"/>
      <c r="AB319" s="1982"/>
      <c r="AC319" s="1982"/>
      <c r="AD319" s="1983"/>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486" t="s">
        <v>2380</v>
      </c>
      <c r="B323" s="1536"/>
      <c r="C323" s="1978" t="s">
        <v>935</v>
      </c>
      <c r="D323" s="1294"/>
      <c r="E323" s="546"/>
      <c r="F323" s="642" t="s">
        <v>2381</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2378</v>
      </c>
      <c r="AH323" s="550"/>
      <c r="AI323" s="550"/>
      <c r="AJ323" s="549"/>
      <c r="AK323" s="549"/>
      <c r="AL323" s="549"/>
      <c r="AM323" s="549"/>
      <c r="AN323" s="73"/>
      <c r="AO323" s="14"/>
    </row>
    <row r="324" spans="1:44" hidden="1">
      <c r="A324" s="89"/>
      <c r="B324" s="89"/>
      <c r="C324" s="726"/>
      <c r="D324" s="726"/>
      <c r="E324" s="546"/>
      <c r="F324" s="2006" t="s">
        <v>2382</v>
      </c>
      <c r="G324" s="1536"/>
      <c r="H324" s="1536"/>
      <c r="I324" s="1536"/>
      <c r="J324" s="1536"/>
      <c r="K324" s="1536"/>
      <c r="L324" s="1536"/>
      <c r="M324" s="1536"/>
      <c r="N324" s="1536"/>
      <c r="O324" s="1536"/>
      <c r="P324" s="1536"/>
      <c r="Q324" s="1536"/>
      <c r="R324" s="1536"/>
      <c r="S324" s="1536"/>
      <c r="T324" s="1536"/>
      <c r="U324" s="1536"/>
      <c r="V324" s="1536"/>
      <c r="W324" s="1536"/>
      <c r="X324" s="1536"/>
      <c r="Y324" s="1536"/>
      <c r="Z324" s="1536"/>
      <c r="AA324" s="1536"/>
      <c r="AB324" s="1536"/>
      <c r="AC324" s="1536"/>
      <c r="AD324" s="1988"/>
      <c r="AE324" s="550"/>
      <c r="AF324" s="550"/>
      <c r="AG324" s="539"/>
      <c r="AH324" s="550"/>
      <c r="AI324" s="550"/>
      <c r="AJ324" s="549"/>
      <c r="AK324" s="549"/>
      <c r="AL324" s="549"/>
      <c r="AM324" s="549"/>
      <c r="AN324" s="73"/>
      <c r="AO324" s="14"/>
      <c r="AP324" s="555" t="s">
        <v>1116</v>
      </c>
    </row>
    <row r="325" spans="1:44" hidden="1">
      <c r="F325" s="1986"/>
      <c r="G325" s="1536"/>
      <c r="H325" s="1536"/>
      <c r="I325" s="1536"/>
      <c r="J325" s="1536"/>
      <c r="K325" s="1536"/>
      <c r="L325" s="1536"/>
      <c r="M325" s="1536"/>
      <c r="N325" s="1536"/>
      <c r="O325" s="1536"/>
      <c r="P325" s="1536"/>
      <c r="Q325" s="1536"/>
      <c r="R325" s="1536"/>
      <c r="S325" s="1536"/>
      <c r="T325" s="1536"/>
      <c r="U325" s="1536"/>
      <c r="V325" s="1536"/>
      <c r="W325" s="1536"/>
      <c r="X325" s="1536"/>
      <c r="Y325" s="1536"/>
      <c r="Z325" s="1536"/>
      <c r="AA325" s="1536"/>
      <c r="AB325" s="1536"/>
      <c r="AC325" s="1536"/>
      <c r="AD325" s="1988"/>
      <c r="AE325" s="550"/>
      <c r="AF325" s="550"/>
      <c r="AH325" s="550"/>
      <c r="AI325" s="550"/>
      <c r="AJ325" s="549"/>
      <c r="AK325" s="549"/>
      <c r="AL325" s="549"/>
      <c r="AM325" s="549"/>
      <c r="AN325" s="73"/>
      <c r="AO325" s="14"/>
      <c r="AP325" s="555" t="s">
        <v>2383</v>
      </c>
    </row>
    <row r="326" spans="1:44" hidden="1">
      <c r="A326" s="549"/>
      <c r="B326" s="550"/>
      <c r="C326" s="726"/>
      <c r="D326" s="726"/>
      <c r="E326" s="546"/>
      <c r="F326" s="648" t="s">
        <v>2384</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2385</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2386</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104" t="s">
        <v>1116</v>
      </c>
      <c r="G329" s="1293"/>
      <c r="H329" s="1293"/>
      <c r="I329" s="1293"/>
      <c r="J329" s="1293"/>
      <c r="K329" s="1293"/>
      <c r="L329" s="1293"/>
      <c r="M329" s="1293"/>
      <c r="N329" s="1293"/>
      <c r="O329" s="1293"/>
      <c r="P329" s="1293"/>
      <c r="Q329" s="1293"/>
      <c r="R329" s="1293"/>
      <c r="S329" s="1293"/>
      <c r="T329" s="1293"/>
      <c r="U329" s="1293"/>
      <c r="V329" s="1293"/>
      <c r="W329" s="1293"/>
      <c r="X329" s="1293"/>
      <c r="Y329" s="1293"/>
      <c r="Z329" s="1293"/>
      <c r="AA329" s="1293"/>
      <c r="AB329" s="1293"/>
      <c r="AC329" s="1293"/>
      <c r="AD329" s="2075"/>
      <c r="AE329" s="640"/>
      <c r="AF329" s="640"/>
      <c r="AG329" s="640"/>
      <c r="AH329" s="640"/>
      <c r="AI329" s="640"/>
      <c r="AJ329" s="640"/>
      <c r="AK329" s="640"/>
      <c r="AL329" s="549"/>
      <c r="AM329" s="549"/>
      <c r="AN329" s="73"/>
      <c r="AO329" s="14"/>
      <c r="AP329" s="30"/>
    </row>
    <row r="330" spans="1:44" hidden="1">
      <c r="A330" s="549"/>
      <c r="B330" s="550"/>
      <c r="C330" s="726"/>
      <c r="D330" s="726"/>
      <c r="E330" s="546"/>
      <c r="F330" s="2105"/>
      <c r="G330" s="1293"/>
      <c r="H330" s="1293"/>
      <c r="I330" s="1293"/>
      <c r="J330" s="1293"/>
      <c r="K330" s="1293"/>
      <c r="L330" s="1293"/>
      <c r="M330" s="1293"/>
      <c r="N330" s="1293"/>
      <c r="O330" s="1293"/>
      <c r="P330" s="1293"/>
      <c r="Q330" s="1293"/>
      <c r="R330" s="1293"/>
      <c r="S330" s="1293"/>
      <c r="T330" s="1293"/>
      <c r="U330" s="1293"/>
      <c r="V330" s="1293"/>
      <c r="W330" s="1293"/>
      <c r="X330" s="1293"/>
      <c r="Y330" s="1293"/>
      <c r="Z330" s="1293"/>
      <c r="AA330" s="1293"/>
      <c r="AB330" s="1293"/>
      <c r="AC330" s="1293"/>
      <c r="AD330" s="2075"/>
      <c r="AE330" s="550"/>
      <c r="AF330" s="550"/>
      <c r="AG330" s="539"/>
      <c r="AH330" s="550"/>
      <c r="AI330" s="550"/>
      <c r="AJ330" s="549"/>
      <c r="AK330" s="549"/>
      <c r="AL330" s="549"/>
      <c r="AM330" s="549"/>
      <c r="AN330" s="73"/>
      <c r="AO330" s="14"/>
      <c r="AP330" s="30"/>
    </row>
    <row r="331" spans="1:44" hidden="1">
      <c r="A331" s="549"/>
      <c r="B331" s="550"/>
      <c r="C331" s="726"/>
      <c r="D331" s="726"/>
      <c r="E331" s="546"/>
      <c r="F331" s="2105"/>
      <c r="G331" s="1293"/>
      <c r="H331" s="1293"/>
      <c r="I331" s="1293"/>
      <c r="J331" s="1293"/>
      <c r="K331" s="1293"/>
      <c r="L331" s="1293"/>
      <c r="M331" s="1293"/>
      <c r="N331" s="1293"/>
      <c r="O331" s="1293"/>
      <c r="P331" s="1293"/>
      <c r="Q331" s="1293"/>
      <c r="R331" s="1293"/>
      <c r="S331" s="1293"/>
      <c r="T331" s="1293"/>
      <c r="U331" s="1293"/>
      <c r="V331" s="1293"/>
      <c r="W331" s="1293"/>
      <c r="X331" s="1293"/>
      <c r="Y331" s="1293"/>
      <c r="Z331" s="1293"/>
      <c r="AA331" s="1293"/>
      <c r="AB331" s="1293"/>
      <c r="AC331" s="1293"/>
      <c r="AD331" s="2075"/>
      <c r="AE331" s="550"/>
      <c r="AF331" s="550"/>
      <c r="AG331" s="539"/>
      <c r="AH331" s="550"/>
      <c r="AI331" s="550"/>
      <c r="AJ331" s="549"/>
      <c r="AK331" s="549"/>
      <c r="AL331" s="549"/>
      <c r="AM331" s="549"/>
      <c r="AN331" s="73"/>
      <c r="AO331" s="14"/>
      <c r="AP331" s="30"/>
    </row>
    <row r="332" spans="1:44" hidden="1">
      <c r="A332" s="549"/>
      <c r="B332" s="550"/>
      <c r="C332" s="726"/>
      <c r="D332" s="726"/>
      <c r="E332" s="546"/>
      <c r="F332" s="2105"/>
      <c r="G332" s="1293"/>
      <c r="H332" s="1293"/>
      <c r="I332" s="1293"/>
      <c r="J332" s="1293"/>
      <c r="K332" s="1293"/>
      <c r="L332" s="1293"/>
      <c r="M332" s="1293"/>
      <c r="N332" s="1293"/>
      <c r="O332" s="1293"/>
      <c r="P332" s="1293"/>
      <c r="Q332" s="1293"/>
      <c r="R332" s="1293"/>
      <c r="S332" s="1293"/>
      <c r="T332" s="1293"/>
      <c r="U332" s="1293"/>
      <c r="V332" s="1293"/>
      <c r="W332" s="1293"/>
      <c r="X332" s="1293"/>
      <c r="Y332" s="1293"/>
      <c r="Z332" s="1293"/>
      <c r="AA332" s="1293"/>
      <c r="AB332" s="1293"/>
      <c r="AC332" s="1293"/>
      <c r="AD332" s="2075"/>
      <c r="AE332" s="550"/>
      <c r="AF332" s="550"/>
      <c r="AG332" s="539"/>
      <c r="AH332" s="550"/>
      <c r="AI332" s="550"/>
      <c r="AJ332" s="549"/>
      <c r="AK332" s="549"/>
      <c r="AL332" s="549"/>
      <c r="AM332" s="549"/>
      <c r="AN332" s="73"/>
      <c r="AO332" s="14"/>
      <c r="AP332" s="30"/>
    </row>
    <row r="333" spans="1:44" hidden="1">
      <c r="A333" s="549"/>
      <c r="B333" s="550"/>
      <c r="C333" s="726"/>
      <c r="D333" s="726"/>
      <c r="E333" s="546"/>
      <c r="F333" s="2106"/>
      <c r="G333" s="1294"/>
      <c r="H333" s="1294"/>
      <c r="I333" s="1294"/>
      <c r="J333" s="1294"/>
      <c r="K333" s="1294"/>
      <c r="L333" s="1294"/>
      <c r="M333" s="1294"/>
      <c r="N333" s="1294"/>
      <c r="O333" s="1294"/>
      <c r="P333" s="1294"/>
      <c r="Q333" s="1294"/>
      <c r="R333" s="1294"/>
      <c r="S333" s="1294"/>
      <c r="T333" s="1294"/>
      <c r="U333" s="1294"/>
      <c r="V333" s="1294"/>
      <c r="W333" s="1294"/>
      <c r="X333" s="1294"/>
      <c r="Y333" s="1294"/>
      <c r="Z333" s="1294"/>
      <c r="AA333" s="1294"/>
      <c r="AB333" s="1294"/>
      <c r="AC333" s="1294"/>
      <c r="AD333" s="2076"/>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2387</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1116</v>
      </c>
    </row>
    <row r="337" spans="1:42" ht="12.75" hidden="1" customHeight="1">
      <c r="A337" s="549"/>
      <c r="B337" s="550"/>
      <c r="C337" s="726"/>
      <c r="D337" s="726"/>
      <c r="E337" s="546"/>
      <c r="F337" s="652"/>
      <c r="G337" s="573" t="s">
        <v>134</v>
      </c>
      <c r="H337" s="573"/>
      <c r="I337" s="2074" t="s">
        <v>1116</v>
      </c>
      <c r="J337" s="1293"/>
      <c r="K337" s="1293"/>
      <c r="L337" s="1293"/>
      <c r="M337" s="1293"/>
      <c r="N337" s="1293"/>
      <c r="O337" s="1293"/>
      <c r="P337" s="1293"/>
      <c r="Q337" s="1293"/>
      <c r="R337" s="1293"/>
      <c r="S337" s="1293"/>
      <c r="T337" s="1293"/>
      <c r="U337" s="1293"/>
      <c r="V337" s="1293"/>
      <c r="W337" s="1293"/>
      <c r="X337" s="1293"/>
      <c r="Y337" s="1293"/>
      <c r="Z337" s="1293"/>
      <c r="AA337" s="1293"/>
      <c r="AB337" s="1293"/>
      <c r="AC337" s="1293"/>
      <c r="AD337" s="2075"/>
      <c r="AE337" s="550"/>
      <c r="AF337" s="550"/>
      <c r="AG337" s="539"/>
      <c r="AH337" s="550"/>
      <c r="AI337" s="550"/>
      <c r="AJ337" s="549"/>
      <c r="AK337" s="549"/>
      <c r="AL337" s="549"/>
      <c r="AM337" s="549"/>
      <c r="AN337" s="73"/>
      <c r="AO337" s="14"/>
      <c r="AP337" s="555" t="s">
        <v>2388</v>
      </c>
    </row>
    <row r="338" spans="1:42" hidden="1">
      <c r="A338" s="549"/>
      <c r="B338" s="550"/>
      <c r="C338" s="726"/>
      <c r="D338" s="726"/>
      <c r="E338" s="546"/>
      <c r="F338" s="652"/>
      <c r="G338" s="573"/>
      <c r="H338" s="573"/>
      <c r="I338" s="1293"/>
      <c r="J338" s="1293"/>
      <c r="K338" s="1293"/>
      <c r="L338" s="1293"/>
      <c r="M338" s="1293"/>
      <c r="N338" s="1293"/>
      <c r="O338" s="1293"/>
      <c r="P338" s="1293"/>
      <c r="Q338" s="1293"/>
      <c r="R338" s="1293"/>
      <c r="S338" s="1293"/>
      <c r="T338" s="1293"/>
      <c r="U338" s="1293"/>
      <c r="V338" s="1293"/>
      <c r="W338" s="1293"/>
      <c r="X338" s="1293"/>
      <c r="Y338" s="1293"/>
      <c r="Z338" s="1293"/>
      <c r="AA338" s="1293"/>
      <c r="AB338" s="1293"/>
      <c r="AC338" s="1293"/>
      <c r="AD338" s="2075"/>
      <c r="AE338" s="550"/>
      <c r="AF338" s="550"/>
      <c r="AG338" s="539"/>
      <c r="AH338" s="550"/>
      <c r="AI338" s="550"/>
      <c r="AJ338" s="549"/>
      <c r="AK338" s="549"/>
      <c r="AL338" s="549"/>
      <c r="AM338" s="549"/>
      <c r="AN338" s="73"/>
      <c r="AO338" s="14"/>
      <c r="AP338" s="555" t="s">
        <v>2389</v>
      </c>
    </row>
    <row r="339" spans="1:42" hidden="1">
      <c r="A339" s="549"/>
      <c r="B339" s="550"/>
      <c r="C339" s="647"/>
      <c r="D339" s="647"/>
      <c r="E339" s="546"/>
      <c r="F339" s="652"/>
      <c r="G339" s="573"/>
      <c r="H339" s="573"/>
      <c r="I339" s="1293"/>
      <c r="J339" s="1293"/>
      <c r="K339" s="1293"/>
      <c r="L339" s="1293"/>
      <c r="M339" s="1293"/>
      <c r="N339" s="1293"/>
      <c r="O339" s="1293"/>
      <c r="P339" s="1293"/>
      <c r="Q339" s="1293"/>
      <c r="R339" s="1293"/>
      <c r="S339" s="1293"/>
      <c r="T339" s="1293"/>
      <c r="U339" s="1293"/>
      <c r="V339" s="1293"/>
      <c r="W339" s="1293"/>
      <c r="X339" s="1293"/>
      <c r="Y339" s="1293"/>
      <c r="Z339" s="1293"/>
      <c r="AA339" s="1293"/>
      <c r="AB339" s="1293"/>
      <c r="AC339" s="1293"/>
      <c r="AD339" s="2075"/>
      <c r="AE339" s="550"/>
      <c r="AF339" s="550"/>
      <c r="AG339" s="539"/>
      <c r="AH339" s="550"/>
      <c r="AI339" s="550"/>
      <c r="AJ339" s="549"/>
      <c r="AK339" s="549"/>
      <c r="AL339" s="549"/>
      <c r="AM339" s="549"/>
      <c r="AN339" s="73"/>
      <c r="AO339" s="14"/>
      <c r="AP339" s="555" t="s">
        <v>2390</v>
      </c>
    </row>
    <row r="340" spans="1:42" hidden="1">
      <c r="A340" s="549"/>
      <c r="B340" s="550"/>
      <c r="C340" s="647"/>
      <c r="D340" s="647"/>
      <c r="E340" s="546"/>
      <c r="F340" s="650"/>
      <c r="G340" s="550"/>
      <c r="H340" s="550"/>
      <c r="I340" s="1294"/>
      <c r="J340" s="1294"/>
      <c r="K340" s="1294"/>
      <c r="L340" s="1294"/>
      <c r="M340" s="1294"/>
      <c r="N340" s="1294"/>
      <c r="O340" s="1294"/>
      <c r="P340" s="1294"/>
      <c r="Q340" s="1294"/>
      <c r="R340" s="1294"/>
      <c r="S340" s="1294"/>
      <c r="T340" s="1294"/>
      <c r="U340" s="1294"/>
      <c r="V340" s="1294"/>
      <c r="W340" s="1294"/>
      <c r="X340" s="1294"/>
      <c r="Y340" s="1294"/>
      <c r="Z340" s="1294"/>
      <c r="AA340" s="1294"/>
      <c r="AB340" s="1294"/>
      <c r="AC340" s="1294"/>
      <c r="AD340" s="2076"/>
      <c r="AE340" s="550"/>
      <c r="AF340" s="550"/>
      <c r="AG340" s="539"/>
      <c r="AH340" s="550"/>
      <c r="AI340" s="550"/>
      <c r="AJ340" s="549"/>
      <c r="AK340" s="549"/>
      <c r="AL340" s="549"/>
      <c r="AM340" s="549"/>
      <c r="AN340" s="73"/>
      <c r="AO340" s="14"/>
      <c r="AP340" s="555" t="s">
        <v>2391</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139</v>
      </c>
      <c r="H342" s="550"/>
      <c r="I342" s="2074" t="s">
        <v>1116</v>
      </c>
      <c r="J342" s="1293"/>
      <c r="K342" s="1293"/>
      <c r="L342" s="1293"/>
      <c r="M342" s="1293"/>
      <c r="N342" s="1293"/>
      <c r="O342" s="1293"/>
      <c r="P342" s="1293"/>
      <c r="Q342" s="1293"/>
      <c r="R342" s="1293"/>
      <c r="S342" s="1293"/>
      <c r="T342" s="1293"/>
      <c r="U342" s="1293"/>
      <c r="V342" s="1293"/>
      <c r="W342" s="1293"/>
      <c r="X342" s="1293"/>
      <c r="Y342" s="1293"/>
      <c r="Z342" s="1293"/>
      <c r="AA342" s="1293"/>
      <c r="AB342" s="1293"/>
      <c r="AC342" s="1293"/>
      <c r="AD342" s="2075"/>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1293"/>
      <c r="J343" s="1293"/>
      <c r="K343" s="1293"/>
      <c r="L343" s="1293"/>
      <c r="M343" s="1293"/>
      <c r="N343" s="1293"/>
      <c r="O343" s="1293"/>
      <c r="P343" s="1293"/>
      <c r="Q343" s="1293"/>
      <c r="R343" s="1293"/>
      <c r="S343" s="1293"/>
      <c r="T343" s="1293"/>
      <c r="U343" s="1293"/>
      <c r="V343" s="1293"/>
      <c r="W343" s="1293"/>
      <c r="X343" s="1293"/>
      <c r="Y343" s="1293"/>
      <c r="Z343" s="1293"/>
      <c r="AA343" s="1293"/>
      <c r="AB343" s="1293"/>
      <c r="AC343" s="1293"/>
      <c r="AD343" s="2075"/>
      <c r="AE343" s="550"/>
      <c r="AF343" s="550"/>
      <c r="AG343" s="539"/>
      <c r="AH343" s="550"/>
      <c r="AI343" s="550"/>
      <c r="AJ343" s="549"/>
      <c r="AK343" s="549"/>
      <c r="AL343" s="549"/>
      <c r="AM343" s="549"/>
      <c r="AN343" s="73"/>
      <c r="AO343" s="14"/>
      <c r="AP343" s="555" t="s">
        <v>1116</v>
      </c>
    </row>
    <row r="344" spans="1:42" hidden="1">
      <c r="A344" s="549"/>
      <c r="B344" s="550"/>
      <c r="C344" s="647"/>
      <c r="D344" s="647"/>
      <c r="E344" s="546"/>
      <c r="F344" s="653"/>
      <c r="G344" s="654"/>
      <c r="H344" s="654"/>
      <c r="I344" s="1294"/>
      <c r="J344" s="1294"/>
      <c r="K344" s="1294"/>
      <c r="L344" s="1294"/>
      <c r="M344" s="1294"/>
      <c r="N344" s="1294"/>
      <c r="O344" s="1294"/>
      <c r="P344" s="1294"/>
      <c r="Q344" s="1294"/>
      <c r="R344" s="1294"/>
      <c r="S344" s="1294"/>
      <c r="T344" s="1294"/>
      <c r="U344" s="1294"/>
      <c r="V344" s="1294"/>
      <c r="W344" s="1294"/>
      <c r="X344" s="1294"/>
      <c r="Y344" s="1294"/>
      <c r="Z344" s="1294"/>
      <c r="AA344" s="1294"/>
      <c r="AB344" s="1294"/>
      <c r="AC344" s="1294"/>
      <c r="AD344" s="2076"/>
      <c r="AE344" s="550"/>
      <c r="AF344" s="550"/>
      <c r="AG344" s="539"/>
      <c r="AH344" s="550"/>
      <c r="AI344" s="550"/>
      <c r="AJ344" s="549"/>
      <c r="AK344" s="549"/>
      <c r="AL344" s="549"/>
      <c r="AM344" s="549"/>
      <c r="AN344" s="73"/>
      <c r="AO344" s="14"/>
      <c r="AP344" s="555" t="s">
        <v>2392</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2393</v>
      </c>
    </row>
    <row r="346" spans="1:42" ht="12.75" hidden="1" customHeight="1">
      <c r="A346" s="1486" t="s">
        <v>2394</v>
      </c>
      <c r="B346" s="1536"/>
      <c r="C346" s="1978" t="s">
        <v>935</v>
      </c>
      <c r="D346" s="1294"/>
      <c r="E346" s="546"/>
      <c r="F346" s="2115" t="s">
        <v>2395</v>
      </c>
      <c r="G346" s="1974"/>
      <c r="H346" s="1974"/>
      <c r="I346" s="1974"/>
      <c r="J346" s="1974"/>
      <c r="K346" s="1974"/>
      <c r="L346" s="1974"/>
      <c r="M346" s="1974"/>
      <c r="N346" s="1974"/>
      <c r="O346" s="1974"/>
      <c r="P346" s="1974"/>
      <c r="Q346" s="1974"/>
      <c r="R346" s="1974"/>
      <c r="S346" s="1974"/>
      <c r="T346" s="1974"/>
      <c r="U346" s="1974"/>
      <c r="V346" s="1974"/>
      <c r="W346" s="1974"/>
      <c r="X346" s="1974"/>
      <c r="Y346" s="1974"/>
      <c r="Z346" s="1974"/>
      <c r="AA346" s="1974"/>
      <c r="AB346" s="1974"/>
      <c r="AC346" s="1974"/>
      <c r="AD346" s="1980"/>
      <c r="AE346" s="550"/>
      <c r="AF346" s="550"/>
      <c r="AG346" s="539" t="s">
        <v>2378</v>
      </c>
      <c r="AH346" s="550"/>
      <c r="AI346" s="550"/>
      <c r="AJ346" s="549"/>
      <c r="AK346" s="549"/>
      <c r="AL346" s="549"/>
      <c r="AM346" s="549"/>
      <c r="AN346" s="73"/>
      <c r="AO346" s="14"/>
    </row>
    <row r="347" spans="1:42" ht="15" hidden="1" customHeight="1">
      <c r="A347" s="549"/>
      <c r="B347" s="550"/>
      <c r="C347" s="550"/>
      <c r="D347" s="550"/>
      <c r="E347" s="550"/>
      <c r="F347" s="1986"/>
      <c r="G347" s="1536"/>
      <c r="H347" s="1536"/>
      <c r="I347" s="1536"/>
      <c r="J347" s="1536"/>
      <c r="K347" s="1536"/>
      <c r="L347" s="1536"/>
      <c r="M347" s="1536"/>
      <c r="N347" s="1536"/>
      <c r="O347" s="1536"/>
      <c r="P347" s="1536"/>
      <c r="Q347" s="1536"/>
      <c r="R347" s="1536"/>
      <c r="S347" s="1536"/>
      <c r="T347" s="1536"/>
      <c r="U347" s="1536"/>
      <c r="V347" s="1536"/>
      <c r="W347" s="1536"/>
      <c r="X347" s="1536"/>
      <c r="Y347" s="1536"/>
      <c r="Z347" s="1536"/>
      <c r="AA347" s="1536"/>
      <c r="AB347" s="1536"/>
      <c r="AC347" s="1536"/>
      <c r="AD347" s="1988"/>
      <c r="AE347" s="550"/>
      <c r="AF347" s="550"/>
      <c r="AG347" s="550"/>
      <c r="AH347" s="550"/>
      <c r="AI347" s="550"/>
      <c r="AJ347" s="549"/>
      <c r="AK347" s="549"/>
      <c r="AL347" s="549"/>
      <c r="AM347" s="549"/>
      <c r="AN347" s="73"/>
      <c r="AO347" s="14"/>
    </row>
    <row r="348" spans="1:42" ht="15" hidden="1" customHeight="1">
      <c r="A348" s="549"/>
      <c r="B348" s="550"/>
      <c r="C348" s="550"/>
      <c r="D348" s="550"/>
      <c r="E348" s="550"/>
      <c r="F348" s="1986"/>
      <c r="G348" s="1536"/>
      <c r="H348" s="1536"/>
      <c r="I348" s="1536"/>
      <c r="J348" s="1536"/>
      <c r="K348" s="1536"/>
      <c r="L348" s="1536"/>
      <c r="M348" s="1536"/>
      <c r="N348" s="1536"/>
      <c r="O348" s="1536"/>
      <c r="P348" s="1536"/>
      <c r="Q348" s="1536"/>
      <c r="R348" s="1536"/>
      <c r="S348" s="1536"/>
      <c r="T348" s="1536"/>
      <c r="U348" s="1536"/>
      <c r="V348" s="1536"/>
      <c r="W348" s="1536"/>
      <c r="X348" s="1536"/>
      <c r="Y348" s="1536"/>
      <c r="Z348" s="1536"/>
      <c r="AA348" s="1536"/>
      <c r="AB348" s="1536"/>
      <c r="AC348" s="1536"/>
      <c r="AD348" s="1988"/>
      <c r="AE348" s="550"/>
      <c r="AF348" s="550"/>
      <c r="AG348" s="550"/>
      <c r="AH348" s="550"/>
      <c r="AI348" s="550"/>
      <c r="AJ348" s="549"/>
      <c r="AK348" s="549"/>
      <c r="AL348" s="549"/>
      <c r="AM348" s="655"/>
      <c r="AN348" s="14"/>
      <c r="AO348" s="14"/>
    </row>
    <row r="349" spans="1:42" hidden="1">
      <c r="A349" s="549"/>
      <c r="B349" s="550"/>
      <c r="C349" s="549"/>
      <c r="D349" s="550"/>
      <c r="E349" s="549"/>
      <c r="F349" s="656" t="s">
        <v>2396</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2397</v>
      </c>
      <c r="AK351" s="1999">
        <f>IF(NOT(OR(Application!M364="Yes",Application!M365="Yes")),0,AP308)</f>
        <v>0</v>
      </c>
      <c r="AL351" s="1263"/>
      <c r="AM351" s="1264"/>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2398</v>
      </c>
      <c r="B354" s="539" t="s">
        <v>2399</v>
      </c>
      <c r="C354" s="536"/>
      <c r="AC354" s="539"/>
      <c r="AE354" s="2011" t="s">
        <v>2221</v>
      </c>
      <c r="AF354" s="1975"/>
      <c r="AG354" s="1975"/>
      <c r="AH354" s="1975"/>
      <c r="AI354" s="1975"/>
      <c r="AJ354" s="1975"/>
      <c r="AK354" s="197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1996" t="s">
        <v>2400</v>
      </c>
      <c r="D356" s="1975"/>
      <c r="E356" s="1975"/>
      <c r="F356" s="1975"/>
      <c r="G356" s="1975"/>
      <c r="H356" s="1975"/>
      <c r="I356" s="1975"/>
      <c r="J356" s="1975"/>
      <c r="K356" s="1975"/>
      <c r="L356" s="1975"/>
      <c r="M356" s="1975"/>
      <c r="N356" s="1975"/>
      <c r="O356" s="1975"/>
      <c r="P356" s="1975"/>
      <c r="Q356" s="1975"/>
      <c r="R356" s="1975"/>
      <c r="S356" s="1975"/>
      <c r="T356" s="1975"/>
      <c r="U356" s="1975"/>
      <c r="V356" s="1975"/>
      <c r="W356" s="1975"/>
      <c r="X356" s="1975"/>
      <c r="Y356" s="1975"/>
      <c r="Z356" s="1975"/>
      <c r="AA356" s="1975"/>
      <c r="AB356" s="1975"/>
      <c r="AC356" s="1975"/>
      <c r="AD356" s="1975"/>
      <c r="AE356" s="1975"/>
      <c r="AF356" s="1975"/>
      <c r="AG356" s="1975"/>
      <c r="AH356" s="1975"/>
      <c r="AI356" s="1975"/>
      <c r="AJ356" s="1975"/>
      <c r="AK356" s="601"/>
      <c r="AL356" s="601"/>
      <c r="AM356" s="601"/>
      <c r="AN356" s="595"/>
    </row>
    <row r="357" spans="1:44" s="549" customFormat="1" ht="12.75" customHeight="1">
      <c r="A357" s="601"/>
      <c r="B357" s="609"/>
      <c r="C357" s="1975"/>
      <c r="D357" s="1975"/>
      <c r="E357" s="1975"/>
      <c r="F357" s="1975"/>
      <c r="G357" s="1975"/>
      <c r="H357" s="1975"/>
      <c r="I357" s="1975"/>
      <c r="J357" s="1975"/>
      <c r="K357" s="1975"/>
      <c r="L357" s="1975"/>
      <c r="M357" s="1975"/>
      <c r="N357" s="1975"/>
      <c r="O357" s="1975"/>
      <c r="P357" s="1975"/>
      <c r="Q357" s="1975"/>
      <c r="R357" s="1975"/>
      <c r="S357" s="1975"/>
      <c r="T357" s="1975"/>
      <c r="U357" s="1975"/>
      <c r="V357" s="1975"/>
      <c r="W357" s="1975"/>
      <c r="X357" s="1975"/>
      <c r="Y357" s="1975"/>
      <c r="Z357" s="1975"/>
      <c r="AA357" s="1975"/>
      <c r="AB357" s="1975"/>
      <c r="AC357" s="1975"/>
      <c r="AD357" s="1975"/>
      <c r="AE357" s="1975"/>
      <c r="AF357" s="1975"/>
      <c r="AG357" s="1975"/>
      <c r="AH357" s="1975"/>
      <c r="AI357" s="1975"/>
      <c r="AJ357" s="1975"/>
      <c r="AK357" s="601"/>
      <c r="AL357" s="601"/>
      <c r="AM357" s="601"/>
      <c r="AN357" s="595"/>
    </row>
    <row r="358" spans="1:44" s="549" customFormat="1" ht="12.75" customHeight="1">
      <c r="A358" s="601"/>
      <c r="B358" s="609"/>
      <c r="C358" s="1975"/>
      <c r="D358" s="1975"/>
      <c r="E358" s="1975"/>
      <c r="F358" s="1975"/>
      <c r="G358" s="1975"/>
      <c r="H358" s="1975"/>
      <c r="I358" s="1975"/>
      <c r="J358" s="1975"/>
      <c r="K358" s="1975"/>
      <c r="L358" s="1975"/>
      <c r="M358" s="1975"/>
      <c r="N358" s="1975"/>
      <c r="O358" s="1975"/>
      <c r="P358" s="1975"/>
      <c r="Q358" s="1975"/>
      <c r="R358" s="1975"/>
      <c r="S358" s="1975"/>
      <c r="T358" s="1975"/>
      <c r="U358" s="1975"/>
      <c r="V358" s="1975"/>
      <c r="W358" s="1975"/>
      <c r="X358" s="1975"/>
      <c r="Y358" s="1975"/>
      <c r="Z358" s="1975"/>
      <c r="AA358" s="1975"/>
      <c r="AB358" s="1975"/>
      <c r="AC358" s="1975"/>
      <c r="AD358" s="1975"/>
      <c r="AE358" s="1975"/>
      <c r="AF358" s="1975"/>
      <c r="AG358" s="1975"/>
      <c r="AH358" s="1975"/>
      <c r="AI358" s="1975"/>
      <c r="AJ358" s="1975"/>
      <c r="AK358" s="601"/>
      <c r="AL358" s="601"/>
      <c r="AM358" s="601"/>
      <c r="AN358" s="595"/>
      <c r="AQ358" s="568"/>
    </row>
    <row r="359" spans="1:44" s="549" customFormat="1" ht="12.75" customHeight="1">
      <c r="A359" s="601"/>
      <c r="B359" s="609"/>
      <c r="C359" s="1975"/>
      <c r="D359" s="1975"/>
      <c r="E359" s="1975"/>
      <c r="F359" s="1975"/>
      <c r="G359" s="1975"/>
      <c r="H359" s="1975"/>
      <c r="I359" s="1975"/>
      <c r="J359" s="1975"/>
      <c r="K359" s="1975"/>
      <c r="L359" s="1975"/>
      <c r="M359" s="1975"/>
      <c r="N359" s="1975"/>
      <c r="O359" s="1975"/>
      <c r="P359" s="1975"/>
      <c r="Q359" s="1975"/>
      <c r="R359" s="1975"/>
      <c r="S359" s="1975"/>
      <c r="T359" s="1975"/>
      <c r="U359" s="1975"/>
      <c r="V359" s="1975"/>
      <c r="W359" s="1975"/>
      <c r="X359" s="1975"/>
      <c r="Y359" s="1975"/>
      <c r="Z359" s="1975"/>
      <c r="AA359" s="1975"/>
      <c r="AB359" s="1975"/>
      <c r="AC359" s="1975"/>
      <c r="AD359" s="1975"/>
      <c r="AE359" s="1975"/>
      <c r="AF359" s="1975"/>
      <c r="AG359" s="1975"/>
      <c r="AH359" s="1975"/>
      <c r="AI359" s="1975"/>
      <c r="AJ359" s="1975"/>
      <c r="AK359" s="601"/>
      <c r="AL359" s="601"/>
      <c r="AM359" s="601"/>
      <c r="AN359" s="595"/>
      <c r="AQ359" s="568"/>
    </row>
    <row r="360" spans="1:44" s="549" customFormat="1" ht="12.45" customHeight="1">
      <c r="A360" s="601"/>
      <c r="B360" s="609"/>
      <c r="C360" s="1975"/>
      <c r="D360" s="1975"/>
      <c r="E360" s="1975"/>
      <c r="F360" s="1975"/>
      <c r="G360" s="1975"/>
      <c r="H360" s="1975"/>
      <c r="I360" s="1975"/>
      <c r="J360" s="1975"/>
      <c r="K360" s="1975"/>
      <c r="L360" s="1975"/>
      <c r="M360" s="1975"/>
      <c r="N360" s="1975"/>
      <c r="O360" s="1975"/>
      <c r="P360" s="1975"/>
      <c r="Q360" s="1975"/>
      <c r="R360" s="1975"/>
      <c r="S360" s="1975"/>
      <c r="T360" s="1975"/>
      <c r="U360" s="1975"/>
      <c r="V360" s="1975"/>
      <c r="W360" s="1975"/>
      <c r="X360" s="1975"/>
      <c r="Y360" s="1975"/>
      <c r="Z360" s="1975"/>
      <c r="AA360" s="1975"/>
      <c r="AB360" s="1975"/>
      <c r="AC360" s="1975"/>
      <c r="AD360" s="1975"/>
      <c r="AE360" s="1975"/>
      <c r="AF360" s="1975"/>
      <c r="AG360" s="1975"/>
      <c r="AH360" s="1975"/>
      <c r="AI360" s="1975"/>
      <c r="AJ360" s="1975"/>
      <c r="AK360" s="601"/>
      <c r="AL360" s="601"/>
      <c r="AM360" s="601"/>
      <c r="AN360" s="595"/>
      <c r="AQ360" s="568"/>
      <c r="AR360" s="568"/>
    </row>
    <row r="361" spans="1:44" s="549" customFormat="1" ht="45.75" customHeight="1">
      <c r="A361" s="601"/>
      <c r="B361" s="609"/>
      <c r="C361" s="1996" t="s">
        <v>2401</v>
      </c>
      <c r="D361" s="1975"/>
      <c r="E361" s="1975"/>
      <c r="F361" s="1975"/>
      <c r="G361" s="1975"/>
      <c r="H361" s="1975"/>
      <c r="I361" s="1975"/>
      <c r="J361" s="1975"/>
      <c r="K361" s="1975"/>
      <c r="L361" s="1975"/>
      <c r="M361" s="1975"/>
      <c r="N361" s="1975"/>
      <c r="O361" s="1975"/>
      <c r="P361" s="1975"/>
      <c r="Q361" s="1975"/>
      <c r="R361" s="1975"/>
      <c r="S361" s="1975"/>
      <c r="T361" s="1975"/>
      <c r="U361" s="1975"/>
      <c r="V361" s="1975"/>
      <c r="W361" s="1975"/>
      <c r="X361" s="1975"/>
      <c r="Y361" s="1975"/>
      <c r="Z361" s="1975"/>
      <c r="AA361" s="1975"/>
      <c r="AB361" s="1975"/>
      <c r="AC361" s="1975"/>
      <c r="AD361" s="1975"/>
      <c r="AE361" s="1975"/>
      <c r="AF361" s="1975"/>
      <c r="AG361" s="1975"/>
      <c r="AH361" s="1975"/>
      <c r="AI361" s="1975"/>
      <c r="AJ361" s="1975"/>
      <c r="AK361" s="601"/>
      <c r="AL361" s="601"/>
      <c r="AM361" s="601"/>
      <c r="AN361" s="595"/>
      <c r="AQ361" s="568"/>
      <c r="AR361" s="568"/>
    </row>
    <row r="362" spans="1:44" s="549" customFormat="1" ht="12.45"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1996" t="s">
        <v>2402</v>
      </c>
      <c r="D363" s="1975"/>
      <c r="E363" s="1975"/>
      <c r="F363" s="1975"/>
      <c r="G363" s="1975"/>
      <c r="H363" s="1975"/>
      <c r="I363" s="1975"/>
      <c r="J363" s="1975"/>
      <c r="K363" s="1975"/>
      <c r="L363" s="1975"/>
      <c r="M363" s="1975"/>
      <c r="N363" s="1975"/>
      <c r="O363" s="1975"/>
      <c r="P363" s="1975"/>
      <c r="Q363" s="1975"/>
      <c r="R363" s="1975"/>
      <c r="S363" s="1975"/>
      <c r="T363" s="1975"/>
      <c r="U363" s="1975"/>
      <c r="V363" s="1975"/>
      <c r="W363" s="1975"/>
      <c r="X363" s="1975"/>
      <c r="Y363" s="1975"/>
      <c r="Z363" s="1975"/>
      <c r="AA363" s="1975"/>
      <c r="AB363" s="1975"/>
      <c r="AC363" s="1975"/>
      <c r="AD363" s="1975"/>
      <c r="AE363" s="1975"/>
      <c r="AF363" s="1975"/>
      <c r="AG363" s="1975"/>
      <c r="AH363" s="1975"/>
      <c r="AI363" s="1975"/>
      <c r="AJ363" s="1975"/>
      <c r="AK363" s="601"/>
      <c r="AL363" s="601"/>
      <c r="AM363" s="601"/>
      <c r="AN363" s="595"/>
      <c r="AQ363" s="568"/>
      <c r="AR363" s="568"/>
    </row>
    <row r="364" spans="1:44" s="549" customFormat="1" ht="30" customHeight="1">
      <c r="A364" s="601"/>
      <c r="B364" s="609"/>
      <c r="C364" s="1975"/>
      <c r="D364" s="1975"/>
      <c r="E364" s="1975"/>
      <c r="F364" s="1975"/>
      <c r="G364" s="1975"/>
      <c r="H364" s="1975"/>
      <c r="I364" s="1975"/>
      <c r="J364" s="1975"/>
      <c r="K364" s="1975"/>
      <c r="L364" s="1975"/>
      <c r="M364" s="1975"/>
      <c r="N364" s="1975"/>
      <c r="O364" s="1975"/>
      <c r="P364" s="1975"/>
      <c r="Q364" s="1975"/>
      <c r="R364" s="1975"/>
      <c r="S364" s="1975"/>
      <c r="T364" s="1975"/>
      <c r="U364" s="1975"/>
      <c r="V364" s="1975"/>
      <c r="W364" s="1975"/>
      <c r="X364" s="1975"/>
      <c r="Y364" s="1975"/>
      <c r="Z364" s="1975"/>
      <c r="AA364" s="1975"/>
      <c r="AB364" s="1975"/>
      <c r="AC364" s="1975"/>
      <c r="AD364" s="1975"/>
      <c r="AE364" s="1975"/>
      <c r="AF364" s="1975"/>
      <c r="AG364" s="1975"/>
      <c r="AH364" s="1975"/>
      <c r="AI364" s="1975"/>
      <c r="AJ364" s="1975"/>
      <c r="AK364" s="601"/>
      <c r="AL364" s="601"/>
      <c r="AM364" s="601"/>
      <c r="AN364" s="595"/>
      <c r="AR364" s="568"/>
    </row>
    <row r="365" spans="1:44" s="549" customFormat="1" ht="12.75" customHeight="1">
      <c r="A365" s="601"/>
      <c r="B365" s="609"/>
      <c r="C365" s="1975"/>
      <c r="D365" s="1975"/>
      <c r="E365" s="1975"/>
      <c r="F365" s="1975"/>
      <c r="G365" s="1975"/>
      <c r="H365" s="1975"/>
      <c r="I365" s="1975"/>
      <c r="J365" s="1975"/>
      <c r="K365" s="1975"/>
      <c r="L365" s="1975"/>
      <c r="M365" s="1975"/>
      <c r="N365" s="1975"/>
      <c r="O365" s="1975"/>
      <c r="P365" s="1975"/>
      <c r="Q365" s="1975"/>
      <c r="R365" s="1975"/>
      <c r="S365" s="1975"/>
      <c r="T365" s="1975"/>
      <c r="U365" s="1975"/>
      <c r="V365" s="1975"/>
      <c r="W365" s="1975"/>
      <c r="X365" s="1975"/>
      <c r="Y365" s="1975"/>
      <c r="Z365" s="1975"/>
      <c r="AA365" s="1975"/>
      <c r="AB365" s="1975"/>
      <c r="AC365" s="1975"/>
      <c r="AD365" s="1975"/>
      <c r="AE365" s="1975"/>
      <c r="AF365" s="1975"/>
      <c r="AG365" s="1975"/>
      <c r="AH365" s="1975"/>
      <c r="AI365" s="1975"/>
      <c r="AJ365" s="1975"/>
      <c r="AK365" s="601"/>
      <c r="AL365" s="601"/>
      <c r="AM365" s="601"/>
      <c r="AN365" s="595"/>
      <c r="AR365" s="568"/>
    </row>
    <row r="366" spans="1:44" s="549" customFormat="1" ht="12.75" customHeight="1">
      <c r="A366" s="601"/>
      <c r="B366" s="609"/>
      <c r="C366" s="1996" t="s">
        <v>2403</v>
      </c>
      <c r="D366" s="1975"/>
      <c r="E366" s="1975"/>
      <c r="F366" s="1975"/>
      <c r="G366" s="1975"/>
      <c r="H366" s="1975"/>
      <c r="I366" s="1975"/>
      <c r="J366" s="1975"/>
      <c r="K366" s="1975"/>
      <c r="L366" s="1975"/>
      <c r="M366" s="1975"/>
      <c r="N366" s="1975"/>
      <c r="O366" s="1975"/>
      <c r="P366" s="1975"/>
      <c r="Q366" s="1975"/>
      <c r="R366" s="1975"/>
      <c r="S366" s="1975"/>
      <c r="T366" s="1975"/>
      <c r="U366" s="1975"/>
      <c r="V366" s="1975"/>
      <c r="W366" s="1975"/>
      <c r="X366" s="1975"/>
      <c r="Y366" s="1975"/>
      <c r="Z366" s="1975"/>
      <c r="AA366" s="1975"/>
      <c r="AB366" s="1975"/>
      <c r="AC366" s="1975"/>
      <c r="AD366" s="1975"/>
      <c r="AE366" s="1975"/>
      <c r="AF366" s="1975"/>
      <c r="AG366" s="1975"/>
      <c r="AH366" s="1975"/>
      <c r="AI366" s="1975"/>
      <c r="AJ366" s="1975"/>
      <c r="AK366" s="601"/>
      <c r="AL366" s="601"/>
      <c r="AM366" s="601"/>
      <c r="AN366" s="595"/>
      <c r="AQ366" s="568"/>
      <c r="AR366" s="568"/>
    </row>
    <row r="367" spans="1:44" s="549" customFormat="1" ht="12.75" customHeight="1">
      <c r="A367" s="601"/>
      <c r="B367" s="609"/>
      <c r="C367" s="1975"/>
      <c r="D367" s="1975"/>
      <c r="E367" s="1975"/>
      <c r="F367" s="1975"/>
      <c r="G367" s="1975"/>
      <c r="H367" s="1975"/>
      <c r="I367" s="1975"/>
      <c r="J367" s="1975"/>
      <c r="K367" s="1975"/>
      <c r="L367" s="1975"/>
      <c r="M367" s="1975"/>
      <c r="N367" s="1975"/>
      <c r="O367" s="1975"/>
      <c r="P367" s="1975"/>
      <c r="Q367" s="1975"/>
      <c r="R367" s="1975"/>
      <c r="S367" s="1975"/>
      <c r="T367" s="1975"/>
      <c r="U367" s="1975"/>
      <c r="V367" s="1975"/>
      <c r="W367" s="1975"/>
      <c r="X367" s="1975"/>
      <c r="Y367" s="1975"/>
      <c r="Z367" s="1975"/>
      <c r="AA367" s="1975"/>
      <c r="AB367" s="1975"/>
      <c r="AC367" s="1975"/>
      <c r="AD367" s="1975"/>
      <c r="AE367" s="1975"/>
      <c r="AF367" s="1975"/>
      <c r="AG367" s="1975"/>
      <c r="AH367" s="1975"/>
      <c r="AI367" s="1975"/>
      <c r="AJ367" s="1975"/>
      <c r="AK367" s="601"/>
      <c r="AL367" s="601"/>
      <c r="AM367" s="601"/>
      <c r="AN367" s="595"/>
      <c r="AQ367" s="568"/>
      <c r="AR367" s="568"/>
    </row>
    <row r="368" spans="1:44" s="549" customFormat="1" ht="13.2" customHeight="1">
      <c r="A368" s="601"/>
      <c r="B368" s="609"/>
      <c r="C368" s="1975"/>
      <c r="D368" s="1975"/>
      <c r="E368" s="1975"/>
      <c r="F368" s="1975"/>
      <c r="G368" s="1975"/>
      <c r="H368" s="1975"/>
      <c r="I368" s="1975"/>
      <c r="J368" s="1975"/>
      <c r="K368" s="1975"/>
      <c r="L368" s="1975"/>
      <c r="M368" s="1975"/>
      <c r="N368" s="1975"/>
      <c r="O368" s="1975"/>
      <c r="P368" s="1975"/>
      <c r="Q368" s="1975"/>
      <c r="R368" s="1975"/>
      <c r="S368" s="1975"/>
      <c r="T368" s="1975"/>
      <c r="U368" s="1975"/>
      <c r="V368" s="1975"/>
      <c r="W368" s="1975"/>
      <c r="X368" s="1975"/>
      <c r="Y368" s="1975"/>
      <c r="Z368" s="1975"/>
      <c r="AA368" s="1975"/>
      <c r="AB368" s="1975"/>
      <c r="AC368" s="1975"/>
      <c r="AD368" s="1975"/>
      <c r="AE368" s="1975"/>
      <c r="AF368" s="1975"/>
      <c r="AG368" s="1975"/>
      <c r="AH368" s="1975"/>
      <c r="AI368" s="1975"/>
      <c r="AJ368" s="1975"/>
      <c r="AK368" s="601"/>
      <c r="AL368" s="601"/>
      <c r="AM368" s="601"/>
      <c r="AN368" s="595"/>
      <c r="AQ368" s="568"/>
      <c r="AR368" s="568"/>
    </row>
    <row r="369" spans="1:46" s="549" customFormat="1" ht="12.75" customHeight="1">
      <c r="A369" s="601"/>
      <c r="B369" s="609"/>
      <c r="C369" s="1975"/>
      <c r="D369" s="1975"/>
      <c r="E369" s="1975"/>
      <c r="F369" s="1975"/>
      <c r="G369" s="1975"/>
      <c r="H369" s="1975"/>
      <c r="I369" s="1975"/>
      <c r="J369" s="1975"/>
      <c r="K369" s="1975"/>
      <c r="L369" s="1975"/>
      <c r="M369" s="1975"/>
      <c r="N369" s="1975"/>
      <c r="O369" s="1975"/>
      <c r="P369" s="1975"/>
      <c r="Q369" s="1975"/>
      <c r="R369" s="1975"/>
      <c r="S369" s="1975"/>
      <c r="T369" s="1975"/>
      <c r="U369" s="1975"/>
      <c r="V369" s="1975"/>
      <c r="W369" s="1975"/>
      <c r="X369" s="1975"/>
      <c r="Y369" s="1975"/>
      <c r="Z369" s="1975"/>
      <c r="AA369" s="1975"/>
      <c r="AB369" s="1975"/>
      <c r="AC369" s="1975"/>
      <c r="AD369" s="1975"/>
      <c r="AE369" s="1975"/>
      <c r="AF369" s="1975"/>
      <c r="AG369" s="1975"/>
      <c r="AH369" s="1975"/>
      <c r="AI369" s="1975"/>
      <c r="AJ369" s="1975"/>
      <c r="AK369" s="601"/>
      <c r="AL369" s="601"/>
      <c r="AM369" s="601"/>
      <c r="AN369" s="595"/>
      <c r="AO369" s="690"/>
      <c r="AP369" s="690"/>
      <c r="AQ369" s="568"/>
    </row>
    <row r="370" spans="1:46" s="549" customFormat="1" ht="11.85" customHeight="1">
      <c r="A370" s="601"/>
      <c r="B370" s="609"/>
      <c r="C370" s="1975"/>
      <c r="D370" s="1975"/>
      <c r="E370" s="1975"/>
      <c r="F370" s="1975"/>
      <c r="G370" s="1975"/>
      <c r="H370" s="1975"/>
      <c r="I370" s="1975"/>
      <c r="J370" s="1975"/>
      <c r="K370" s="1975"/>
      <c r="L370" s="1975"/>
      <c r="M370" s="1975"/>
      <c r="N370" s="1975"/>
      <c r="O370" s="1975"/>
      <c r="P370" s="1975"/>
      <c r="Q370" s="1975"/>
      <c r="R370" s="1975"/>
      <c r="S370" s="1975"/>
      <c r="T370" s="1975"/>
      <c r="U370" s="1975"/>
      <c r="V370" s="1975"/>
      <c r="W370" s="1975"/>
      <c r="X370" s="1975"/>
      <c r="Y370" s="1975"/>
      <c r="Z370" s="1975"/>
      <c r="AA370" s="1975"/>
      <c r="AB370" s="1975"/>
      <c r="AC370" s="1975"/>
      <c r="AD370" s="1975"/>
      <c r="AE370" s="1975"/>
      <c r="AF370" s="1975"/>
      <c r="AG370" s="1975"/>
      <c r="AH370" s="1975"/>
      <c r="AI370" s="1975"/>
      <c r="AJ370" s="1975"/>
      <c r="AK370" s="601"/>
      <c r="AL370" s="601"/>
      <c r="AM370" s="601"/>
      <c r="AN370" s="595"/>
      <c r="AO370" s="691" t="s">
        <v>130</v>
      </c>
      <c r="AP370" s="692">
        <f>IF(C394="Yes",5,0)</f>
        <v>0</v>
      </c>
      <c r="AS370" s="539" t="s">
        <v>2404</v>
      </c>
    </row>
    <row r="371" spans="1:46" s="549" customFormat="1" ht="12.75" customHeight="1">
      <c r="A371" s="601"/>
      <c r="B371" s="609"/>
      <c r="C371" s="1975"/>
      <c r="D371" s="1975"/>
      <c r="E371" s="1975"/>
      <c r="F371" s="1975"/>
      <c r="G371" s="1975"/>
      <c r="H371" s="1975"/>
      <c r="I371" s="1975"/>
      <c r="J371" s="1975"/>
      <c r="K371" s="1975"/>
      <c r="L371" s="1975"/>
      <c r="M371" s="1975"/>
      <c r="N371" s="1975"/>
      <c r="O371" s="1975"/>
      <c r="P371" s="1975"/>
      <c r="Q371" s="1975"/>
      <c r="R371" s="1975"/>
      <c r="S371" s="1975"/>
      <c r="T371" s="1975"/>
      <c r="U371" s="1975"/>
      <c r="V371" s="1975"/>
      <c r="W371" s="1975"/>
      <c r="X371" s="1975"/>
      <c r="Y371" s="1975"/>
      <c r="Z371" s="1975"/>
      <c r="AA371" s="1975"/>
      <c r="AB371" s="1975"/>
      <c r="AC371" s="1975"/>
      <c r="AD371" s="1975"/>
      <c r="AE371" s="1975"/>
      <c r="AF371" s="1975"/>
      <c r="AG371" s="1975"/>
      <c r="AH371" s="1975"/>
      <c r="AI371" s="1975"/>
      <c r="AJ371" s="1975"/>
      <c r="AK371" s="601"/>
      <c r="AL371" s="601"/>
      <c r="AM371" s="601"/>
      <c r="AN371" s="595"/>
      <c r="AO371" s="691" t="s">
        <v>143</v>
      </c>
      <c r="AP371" s="692">
        <f>IF(C402="Yes",5,0)</f>
        <v>0</v>
      </c>
      <c r="AS371" s="1992">
        <f>IF(Application!D211="Non-Targeted",(SUM(AQ379+AQ388)),AS375)</f>
        <v>10</v>
      </c>
      <c r="AT371" s="1264"/>
    </row>
    <row r="372" spans="1:46" s="549" customFormat="1" ht="12.75" customHeight="1">
      <c r="A372" s="601"/>
      <c r="B372" s="609"/>
      <c r="C372" s="1975"/>
      <c r="D372" s="1975"/>
      <c r="E372" s="1975"/>
      <c r="F372" s="1975"/>
      <c r="G372" s="1975"/>
      <c r="H372" s="1975"/>
      <c r="I372" s="1975"/>
      <c r="J372" s="1975"/>
      <c r="K372" s="1975"/>
      <c r="L372" s="1975"/>
      <c r="M372" s="1975"/>
      <c r="N372" s="1975"/>
      <c r="O372" s="1975"/>
      <c r="P372" s="1975"/>
      <c r="Q372" s="1975"/>
      <c r="R372" s="1975"/>
      <c r="S372" s="1975"/>
      <c r="T372" s="1975"/>
      <c r="U372" s="1975"/>
      <c r="V372" s="1975"/>
      <c r="W372" s="1975"/>
      <c r="X372" s="1975"/>
      <c r="Y372" s="1975"/>
      <c r="Z372" s="1975"/>
      <c r="AA372" s="1975"/>
      <c r="AB372" s="1975"/>
      <c r="AC372" s="1975"/>
      <c r="AD372" s="1975"/>
      <c r="AE372" s="1975"/>
      <c r="AF372" s="1975"/>
      <c r="AG372" s="1975"/>
      <c r="AH372" s="1975"/>
      <c r="AI372" s="1975"/>
      <c r="AJ372" s="1975"/>
      <c r="AK372" s="601"/>
      <c r="AL372" s="601"/>
      <c r="AM372" s="601"/>
      <c r="AN372" s="595"/>
      <c r="AO372" s="691" t="s">
        <v>151</v>
      </c>
      <c r="AP372" s="692">
        <f>IF(C410="Yes",7,0)</f>
        <v>7</v>
      </c>
      <c r="AS372" s="539" t="s">
        <v>2405</v>
      </c>
    </row>
    <row r="373" spans="1:46" s="549" customFormat="1" ht="12.75" customHeight="1">
      <c r="B373" s="609"/>
      <c r="C373" s="1975"/>
      <c r="D373" s="1975"/>
      <c r="E373" s="1975"/>
      <c r="F373" s="1975"/>
      <c r="G373" s="1975"/>
      <c r="H373" s="1975"/>
      <c r="I373" s="1975"/>
      <c r="J373" s="1975"/>
      <c r="K373" s="1975"/>
      <c r="L373" s="1975"/>
      <c r="M373" s="1975"/>
      <c r="N373" s="1975"/>
      <c r="O373" s="1975"/>
      <c r="P373" s="1975"/>
      <c r="Q373" s="1975"/>
      <c r="R373" s="1975"/>
      <c r="S373" s="1975"/>
      <c r="T373" s="1975"/>
      <c r="U373" s="1975"/>
      <c r="V373" s="1975"/>
      <c r="W373" s="1975"/>
      <c r="X373" s="1975"/>
      <c r="Y373" s="1975"/>
      <c r="Z373" s="1975"/>
      <c r="AA373" s="1975"/>
      <c r="AB373" s="1975"/>
      <c r="AC373" s="1975"/>
      <c r="AD373" s="1975"/>
      <c r="AE373" s="1975"/>
      <c r="AF373" s="1975"/>
      <c r="AG373" s="1975"/>
      <c r="AH373" s="1975"/>
      <c r="AI373" s="1975"/>
      <c r="AJ373" s="1975"/>
      <c r="AK373" s="601"/>
      <c r="AL373" s="601"/>
      <c r="AM373" s="601"/>
      <c r="AN373" s="595"/>
      <c r="AO373" s="595"/>
      <c r="AP373" s="692">
        <f>IF(C412="Yes",5,0)</f>
        <v>0</v>
      </c>
      <c r="AS373" s="1992">
        <f>IF(AND(AQ379&gt;0,AQ388&gt;0),(AQ379+AQ388)/2,0)</f>
        <v>0</v>
      </c>
      <c r="AT373" s="1264"/>
    </row>
    <row r="374" spans="1:46" s="549" customFormat="1" ht="12.75" customHeight="1">
      <c r="A374" s="601"/>
      <c r="B374" s="609"/>
      <c r="C374" s="1975"/>
      <c r="D374" s="1975"/>
      <c r="E374" s="1975"/>
      <c r="F374" s="1975"/>
      <c r="G374" s="1975"/>
      <c r="H374" s="1975"/>
      <c r="I374" s="1975"/>
      <c r="J374" s="1975"/>
      <c r="K374" s="1975"/>
      <c r="L374" s="1975"/>
      <c r="M374" s="1975"/>
      <c r="N374" s="1975"/>
      <c r="O374" s="1975"/>
      <c r="P374" s="1975"/>
      <c r="Q374" s="1975"/>
      <c r="R374" s="1975"/>
      <c r="S374" s="1975"/>
      <c r="T374" s="1975"/>
      <c r="U374" s="1975"/>
      <c r="V374" s="1975"/>
      <c r="W374" s="1975"/>
      <c r="X374" s="1975"/>
      <c r="Y374" s="1975"/>
      <c r="Z374" s="1975"/>
      <c r="AA374" s="1975"/>
      <c r="AB374" s="1975"/>
      <c r="AC374" s="1975"/>
      <c r="AD374" s="1975"/>
      <c r="AE374" s="1975"/>
      <c r="AF374" s="1975"/>
      <c r="AG374" s="1975"/>
      <c r="AH374" s="1975"/>
      <c r="AI374" s="1975"/>
      <c r="AJ374" s="1975"/>
      <c r="AK374" s="601"/>
      <c r="AL374" s="601"/>
      <c r="AM374" s="601"/>
      <c r="AN374" s="595"/>
      <c r="AO374" s="691" t="s">
        <v>194</v>
      </c>
      <c r="AP374" s="692">
        <f>IF(C420="Yes",5,0)</f>
        <v>0</v>
      </c>
      <c r="AS374" s="539" t="s">
        <v>2406</v>
      </c>
    </row>
    <row r="375" spans="1:46" s="549" customFormat="1" ht="12.75" customHeight="1">
      <c r="A375" s="601"/>
      <c r="B375" s="609"/>
      <c r="C375" s="2081" t="s">
        <v>2407</v>
      </c>
      <c r="D375" s="1975"/>
      <c r="E375" s="1975"/>
      <c r="F375" s="1975"/>
      <c r="G375" s="1975"/>
      <c r="H375" s="1975"/>
      <c r="I375" s="1975"/>
      <c r="J375" s="1975"/>
      <c r="K375" s="1975"/>
      <c r="L375" s="1975"/>
      <c r="M375" s="1975"/>
      <c r="N375" s="1975"/>
      <c r="O375" s="1975"/>
      <c r="P375" s="1975"/>
      <c r="Q375" s="1975"/>
      <c r="R375" s="1975"/>
      <c r="S375" s="1975"/>
      <c r="T375" s="1975"/>
      <c r="U375" s="1975"/>
      <c r="V375" s="1975"/>
      <c r="W375" s="1975"/>
      <c r="X375" s="1975"/>
      <c r="Y375" s="1975"/>
      <c r="Z375" s="1975"/>
      <c r="AA375" s="1975"/>
      <c r="AB375" s="1975"/>
      <c r="AC375" s="1975"/>
      <c r="AD375" s="1975"/>
      <c r="AE375" s="1975"/>
      <c r="AF375" s="1975"/>
      <c r="AG375" s="1975"/>
      <c r="AH375" s="1975"/>
      <c r="AI375" s="1975"/>
      <c r="AJ375" s="1975"/>
      <c r="AK375" s="601"/>
      <c r="AL375" s="601"/>
      <c r="AM375" s="601"/>
      <c r="AN375" s="595"/>
      <c r="AO375" s="595"/>
      <c r="AP375" s="692">
        <f>IF(C422="Yes",3,0)</f>
        <v>3</v>
      </c>
      <c r="AS375" s="1992">
        <f>IF(AQ379=0,AQ388,AQ379)</f>
        <v>10</v>
      </c>
      <c r="AT375" s="1264"/>
    </row>
    <row r="376" spans="1:46" s="549" customFormat="1" ht="12.75" customHeight="1">
      <c r="A376" s="601"/>
      <c r="B376" s="609"/>
      <c r="C376" s="1975"/>
      <c r="D376" s="1975"/>
      <c r="E376" s="1975"/>
      <c r="F376" s="1975"/>
      <c r="G376" s="1975"/>
      <c r="H376" s="1975"/>
      <c r="I376" s="1975"/>
      <c r="J376" s="1975"/>
      <c r="K376" s="1975"/>
      <c r="L376" s="1975"/>
      <c r="M376" s="1975"/>
      <c r="N376" s="1975"/>
      <c r="O376" s="1975"/>
      <c r="P376" s="1975"/>
      <c r="Q376" s="1975"/>
      <c r="R376" s="1975"/>
      <c r="S376" s="1975"/>
      <c r="T376" s="1975"/>
      <c r="U376" s="1975"/>
      <c r="V376" s="1975"/>
      <c r="W376" s="1975"/>
      <c r="X376" s="1975"/>
      <c r="Y376" s="1975"/>
      <c r="Z376" s="1975"/>
      <c r="AA376" s="1975"/>
      <c r="AB376" s="1975"/>
      <c r="AC376" s="1975"/>
      <c r="AD376" s="1975"/>
      <c r="AE376" s="1975"/>
      <c r="AF376" s="1975"/>
      <c r="AG376" s="1975"/>
      <c r="AH376" s="1975"/>
      <c r="AI376" s="1975"/>
      <c r="AJ376" s="1975"/>
      <c r="AK376" s="601"/>
      <c r="AL376" s="601"/>
      <c r="AM376" s="601"/>
      <c r="AN376" s="595"/>
      <c r="AO376" s="691" t="s">
        <v>198</v>
      </c>
      <c r="AP376" s="692">
        <f>IF(C425="Yes",5,0)</f>
        <v>0</v>
      </c>
    </row>
    <row r="377" spans="1:46" s="549" customFormat="1" ht="12.75" customHeight="1">
      <c r="A377" s="601"/>
      <c r="B377" s="609"/>
      <c r="C377" s="1975"/>
      <c r="D377" s="1975"/>
      <c r="E377" s="1975"/>
      <c r="F377" s="1975"/>
      <c r="G377" s="1975"/>
      <c r="H377" s="1975"/>
      <c r="I377" s="1975"/>
      <c r="J377" s="1975"/>
      <c r="K377" s="1975"/>
      <c r="L377" s="1975"/>
      <c r="M377" s="1975"/>
      <c r="N377" s="1975"/>
      <c r="O377" s="1975"/>
      <c r="P377" s="1975"/>
      <c r="Q377" s="1975"/>
      <c r="R377" s="1975"/>
      <c r="S377" s="1975"/>
      <c r="T377" s="1975"/>
      <c r="U377" s="1975"/>
      <c r="V377" s="1975"/>
      <c r="W377" s="1975"/>
      <c r="X377" s="1975"/>
      <c r="Y377" s="1975"/>
      <c r="Z377" s="1975"/>
      <c r="AA377" s="1975"/>
      <c r="AB377" s="1975"/>
      <c r="AC377" s="1975"/>
      <c r="AD377" s="1975"/>
      <c r="AE377" s="1975"/>
      <c r="AF377" s="1975"/>
      <c r="AG377" s="1975"/>
      <c r="AH377" s="1975"/>
      <c r="AI377" s="1975"/>
      <c r="AJ377" s="1975"/>
      <c r="AK377" s="601"/>
      <c r="AL377" s="601"/>
      <c r="AM377" s="601"/>
      <c r="AN377" s="595"/>
      <c r="AO377" s="691" t="s">
        <v>1486</v>
      </c>
      <c r="AP377" s="692">
        <f>IF(C434="Yes",5,0)</f>
        <v>0</v>
      </c>
    </row>
    <row r="378" spans="1:46" s="549" customFormat="1" ht="11.85" customHeight="1">
      <c r="A378" s="601"/>
      <c r="B378" s="609"/>
      <c r="C378" s="1975"/>
      <c r="D378" s="1975"/>
      <c r="E378" s="1975"/>
      <c r="F378" s="1975"/>
      <c r="G378" s="1975"/>
      <c r="H378" s="1975"/>
      <c r="I378" s="1975"/>
      <c r="J378" s="1975"/>
      <c r="K378" s="1975"/>
      <c r="L378" s="1975"/>
      <c r="M378" s="1975"/>
      <c r="N378" s="1975"/>
      <c r="O378" s="1975"/>
      <c r="P378" s="1975"/>
      <c r="Q378" s="1975"/>
      <c r="R378" s="1975"/>
      <c r="S378" s="1975"/>
      <c r="T378" s="1975"/>
      <c r="U378" s="1975"/>
      <c r="V378" s="1975"/>
      <c r="W378" s="1975"/>
      <c r="X378" s="1975"/>
      <c r="Y378" s="1975"/>
      <c r="Z378" s="1975"/>
      <c r="AA378" s="1975"/>
      <c r="AB378" s="1975"/>
      <c r="AC378" s="1975"/>
      <c r="AD378" s="1975"/>
      <c r="AE378" s="1975"/>
      <c r="AF378" s="1975"/>
      <c r="AG378" s="1975"/>
      <c r="AH378" s="1975"/>
      <c r="AI378" s="1975"/>
      <c r="AJ378" s="1975"/>
      <c r="AK378" s="601"/>
      <c r="AL378" s="601"/>
      <c r="AM378" s="601"/>
      <c r="AN378" s="595"/>
      <c r="AO378" s="693"/>
      <c r="AP378" s="694">
        <f>IF(C436="Yes",3,0)</f>
        <v>0</v>
      </c>
    </row>
    <row r="379" spans="1:46" s="549" customFormat="1" ht="12.45" customHeight="1">
      <c r="A379" s="601"/>
      <c r="B379" s="609"/>
      <c r="C379" s="1975"/>
      <c r="D379" s="1975"/>
      <c r="E379" s="1975"/>
      <c r="F379" s="1975"/>
      <c r="G379" s="1975"/>
      <c r="H379" s="1975"/>
      <c r="I379" s="1975"/>
      <c r="J379" s="1975"/>
      <c r="K379" s="1975"/>
      <c r="L379" s="1975"/>
      <c r="M379" s="1975"/>
      <c r="N379" s="1975"/>
      <c r="O379" s="1975"/>
      <c r="P379" s="1975"/>
      <c r="Q379" s="1975"/>
      <c r="R379" s="1975"/>
      <c r="S379" s="1975"/>
      <c r="T379" s="1975"/>
      <c r="U379" s="1975"/>
      <c r="V379" s="1975"/>
      <c r="W379" s="1975"/>
      <c r="X379" s="1975"/>
      <c r="Y379" s="1975"/>
      <c r="Z379" s="1975"/>
      <c r="AA379" s="1975"/>
      <c r="AB379" s="1975"/>
      <c r="AC379" s="1975"/>
      <c r="AD379" s="1975"/>
      <c r="AE379" s="1975"/>
      <c r="AF379" s="1975"/>
      <c r="AG379" s="1975"/>
      <c r="AH379" s="1975"/>
      <c r="AI379" s="1975"/>
      <c r="AJ379" s="1975"/>
      <c r="AK379" s="601"/>
      <c r="AL379" s="601"/>
      <c r="AM379" s="601"/>
      <c r="AN379" s="595"/>
      <c r="AO379" s="695" t="s">
        <v>2408</v>
      </c>
      <c r="AP379" s="696">
        <f>SUM(AP370:AP378)</f>
        <v>10</v>
      </c>
      <c r="AQ379" s="1998">
        <f>IF(AP379&gt;0,AP379,0)</f>
        <v>10</v>
      </c>
      <c r="AR379" s="1264"/>
    </row>
    <row r="380" spans="1:46" s="549" customFormat="1" ht="12.75" customHeight="1">
      <c r="A380" s="601"/>
      <c r="B380" s="609"/>
      <c r="C380" s="1975"/>
      <c r="D380" s="1975"/>
      <c r="E380" s="1975"/>
      <c r="F380" s="1975"/>
      <c r="G380" s="1975"/>
      <c r="H380" s="1975"/>
      <c r="I380" s="1975"/>
      <c r="J380" s="1975"/>
      <c r="K380" s="1975"/>
      <c r="L380" s="1975"/>
      <c r="M380" s="1975"/>
      <c r="N380" s="1975"/>
      <c r="O380" s="1975"/>
      <c r="P380" s="1975"/>
      <c r="Q380" s="1975"/>
      <c r="R380" s="1975"/>
      <c r="S380" s="1975"/>
      <c r="T380" s="1975"/>
      <c r="U380" s="1975"/>
      <c r="V380" s="1975"/>
      <c r="W380" s="1975"/>
      <c r="X380" s="1975"/>
      <c r="Y380" s="1975"/>
      <c r="Z380" s="1975"/>
      <c r="AA380" s="1975"/>
      <c r="AB380" s="1975"/>
      <c r="AC380" s="1975"/>
      <c r="AD380" s="1975"/>
      <c r="AE380" s="1975"/>
      <c r="AF380" s="1975"/>
      <c r="AG380" s="1975"/>
      <c r="AH380" s="1975"/>
      <c r="AI380" s="1975"/>
      <c r="AJ380" s="197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1487</v>
      </c>
      <c r="AP381" s="692">
        <f>IF(C443="Yes",5,0)</f>
        <v>0</v>
      </c>
    </row>
    <row r="382" spans="1:46" s="549" customFormat="1" ht="12.75" customHeight="1">
      <c r="A382" s="601"/>
      <c r="B382" s="609"/>
      <c r="C382" s="1996" t="s">
        <v>2409</v>
      </c>
      <c r="D382" s="1975"/>
      <c r="E382" s="1975"/>
      <c r="F382" s="1975"/>
      <c r="G382" s="1975"/>
      <c r="H382" s="1975"/>
      <c r="I382" s="1975"/>
      <c r="J382" s="1975"/>
      <c r="K382" s="1975"/>
      <c r="L382" s="1975"/>
      <c r="M382" s="1975"/>
      <c r="N382" s="1975"/>
      <c r="O382" s="1975"/>
      <c r="P382" s="1975"/>
      <c r="Q382" s="1975"/>
      <c r="R382" s="1975"/>
      <c r="S382" s="1975"/>
      <c r="T382" s="1975"/>
      <c r="U382" s="1975"/>
      <c r="V382" s="1975"/>
      <c r="W382" s="1975"/>
      <c r="X382" s="1975"/>
      <c r="Y382" s="1975"/>
      <c r="Z382" s="1975"/>
      <c r="AA382" s="1975"/>
      <c r="AB382" s="1975"/>
      <c r="AC382" s="1975"/>
      <c r="AD382" s="1975"/>
      <c r="AE382" s="1975"/>
      <c r="AF382" s="1975"/>
      <c r="AG382" s="1975"/>
      <c r="AH382" s="1975"/>
      <c r="AI382" s="1975"/>
      <c r="AJ382" s="1975"/>
      <c r="AK382" s="601"/>
      <c r="AL382" s="601"/>
      <c r="AM382" s="601"/>
      <c r="AN382" s="595"/>
      <c r="AO382" s="691" t="s">
        <v>1488</v>
      </c>
      <c r="AP382" s="692">
        <f>IF(C455="Yes",5,0)</f>
        <v>0</v>
      </c>
    </row>
    <row r="383" spans="1:46" s="549" customFormat="1" ht="12.75" customHeight="1">
      <c r="A383" s="601"/>
      <c r="B383" s="609"/>
      <c r="C383" s="1975"/>
      <c r="D383" s="1975"/>
      <c r="E383" s="1975"/>
      <c r="F383" s="1975"/>
      <c r="G383" s="1975"/>
      <c r="H383" s="1975"/>
      <c r="I383" s="1975"/>
      <c r="J383" s="1975"/>
      <c r="K383" s="1975"/>
      <c r="L383" s="1975"/>
      <c r="M383" s="1975"/>
      <c r="N383" s="1975"/>
      <c r="O383" s="1975"/>
      <c r="P383" s="1975"/>
      <c r="Q383" s="1975"/>
      <c r="R383" s="1975"/>
      <c r="S383" s="1975"/>
      <c r="T383" s="1975"/>
      <c r="U383" s="1975"/>
      <c r="V383" s="1975"/>
      <c r="W383" s="1975"/>
      <c r="X383" s="1975"/>
      <c r="Y383" s="1975"/>
      <c r="Z383" s="1975"/>
      <c r="AA383" s="1975"/>
      <c r="AB383" s="1975"/>
      <c r="AC383" s="1975"/>
      <c r="AD383" s="1975"/>
      <c r="AE383" s="1975"/>
      <c r="AF383" s="1975"/>
      <c r="AG383" s="1975"/>
      <c r="AH383" s="1975"/>
      <c r="AI383" s="1975"/>
      <c r="AJ383" s="1975"/>
      <c r="AK383" s="601"/>
      <c r="AL383" s="601"/>
      <c r="AM383" s="601"/>
      <c r="AN383" s="595"/>
      <c r="AO383" s="691" t="s">
        <v>1489</v>
      </c>
      <c r="AP383" s="692">
        <f>IF(C462="Yes",5,0)</f>
        <v>0</v>
      </c>
    </row>
    <row r="384" spans="1:46" s="549" customFormat="1" ht="68.099999999999994" customHeight="1">
      <c r="A384" s="601"/>
      <c r="B384" s="609"/>
      <c r="C384" s="1975"/>
      <c r="D384" s="1975"/>
      <c r="E384" s="1975"/>
      <c r="F384" s="1975"/>
      <c r="G384" s="1975"/>
      <c r="H384" s="1975"/>
      <c r="I384" s="1975"/>
      <c r="J384" s="1975"/>
      <c r="K384" s="1975"/>
      <c r="L384" s="1975"/>
      <c r="M384" s="1975"/>
      <c r="N384" s="1975"/>
      <c r="O384" s="1975"/>
      <c r="P384" s="1975"/>
      <c r="Q384" s="1975"/>
      <c r="R384" s="1975"/>
      <c r="S384" s="1975"/>
      <c r="T384" s="1975"/>
      <c r="U384" s="1975"/>
      <c r="V384" s="1975"/>
      <c r="W384" s="1975"/>
      <c r="X384" s="1975"/>
      <c r="Y384" s="1975"/>
      <c r="Z384" s="1975"/>
      <c r="AA384" s="1975"/>
      <c r="AB384" s="1975"/>
      <c r="AC384" s="1975"/>
      <c r="AD384" s="1975"/>
      <c r="AE384" s="1975"/>
      <c r="AF384" s="1975"/>
      <c r="AG384" s="1975"/>
      <c r="AH384" s="1975"/>
      <c r="AI384" s="1975"/>
      <c r="AJ384" s="1975"/>
      <c r="AK384" s="601"/>
      <c r="AL384" s="601"/>
      <c r="AM384" s="601"/>
      <c r="AN384" s="595"/>
      <c r="AO384" s="691" t="s">
        <v>1490</v>
      </c>
      <c r="AP384" s="697">
        <f>IF(C466="Yes",5,0)</f>
        <v>0</v>
      </c>
    </row>
    <row r="385" spans="1:81" s="549" customFormat="1" ht="12.45" customHeight="1">
      <c r="B385" s="609"/>
      <c r="C385" s="549" t="s">
        <v>2410</v>
      </c>
      <c r="AF385" s="601"/>
      <c r="AG385" s="601"/>
      <c r="AH385" s="601"/>
      <c r="AI385" s="601"/>
      <c r="AJ385" s="601"/>
      <c r="AK385" s="601"/>
      <c r="AL385" s="601"/>
      <c r="AM385" s="601"/>
      <c r="AN385" s="595"/>
      <c r="AO385" s="691" t="s">
        <v>1491</v>
      </c>
      <c r="AP385" s="692">
        <f>IF(C470="Yes",5,0)</f>
        <v>0</v>
      </c>
    </row>
    <row r="386" spans="1:81" s="549" customFormat="1" ht="12.75" customHeight="1">
      <c r="A386" s="601"/>
      <c r="B386" s="609"/>
      <c r="C386" s="698" t="s">
        <v>2411</v>
      </c>
      <c r="D386" s="699"/>
      <c r="E386" s="699"/>
      <c r="F386" s="699"/>
      <c r="G386" s="699"/>
      <c r="H386" s="699"/>
      <c r="I386" s="699"/>
      <c r="J386" s="699"/>
      <c r="K386" s="699"/>
      <c r="L386" s="699"/>
      <c r="M386" s="663"/>
      <c r="N386" s="663"/>
      <c r="O386" s="700"/>
      <c r="P386" s="699"/>
      <c r="Q386" s="699"/>
      <c r="R386" s="663"/>
      <c r="S386" s="663"/>
      <c r="T386" s="699"/>
      <c r="U386" s="2100">
        <f>Application!DU810-U387</f>
        <v>156</v>
      </c>
      <c r="V386" s="1417"/>
      <c r="W386" s="1417"/>
      <c r="X386" s="699"/>
      <c r="Y386" s="699"/>
      <c r="Z386" s="699"/>
      <c r="AA386" s="701"/>
      <c r="AB386" s="702"/>
      <c r="AC386" s="702"/>
      <c r="AD386" s="702"/>
      <c r="AE386" s="601"/>
      <c r="AF386" s="601"/>
      <c r="AG386" s="601"/>
      <c r="AH386" s="601"/>
      <c r="AI386" s="601"/>
      <c r="AJ386" s="601"/>
      <c r="AK386" s="601"/>
      <c r="AL386" s="601"/>
      <c r="AM386" s="601"/>
      <c r="AN386" s="595"/>
      <c r="AO386" s="691" t="s">
        <v>1492</v>
      </c>
      <c r="AP386" s="692">
        <f>IF(C479="Yes",5,0)</f>
        <v>0</v>
      </c>
    </row>
    <row r="387" spans="1:81" s="549" customFormat="1" ht="12.75" customHeight="1">
      <c r="A387" s="601"/>
      <c r="B387" s="609"/>
      <c r="C387" s="703" t="s">
        <v>2412</v>
      </c>
      <c r="D387" s="690"/>
      <c r="E387" s="690"/>
      <c r="F387" s="690"/>
      <c r="G387" s="690"/>
      <c r="H387" s="690"/>
      <c r="I387" s="690"/>
      <c r="J387" s="690"/>
      <c r="K387" s="690"/>
      <c r="L387" s="690"/>
      <c r="M387" s="690"/>
      <c r="N387" s="690"/>
      <c r="O387" s="690"/>
      <c r="P387" s="690"/>
      <c r="Q387" s="690"/>
      <c r="R387" s="690"/>
      <c r="S387" s="690"/>
      <c r="T387" s="690"/>
      <c r="U387" s="2079">
        <f>IF(Application!D211="SRO",Application!DU763,Application!AG764)</f>
        <v>0</v>
      </c>
      <c r="V387" s="1405"/>
      <c r="W387" s="1405"/>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2408</v>
      </c>
      <c r="AP388" s="707">
        <f>SUM(AP381:AP386)</f>
        <v>0</v>
      </c>
      <c r="AQ388" s="1998">
        <f>IF(AP388&gt;0,AP388,0)</f>
        <v>0</v>
      </c>
      <c r="AR388" s="1264"/>
    </row>
    <row r="389" spans="1:81" s="549" customFormat="1" ht="12.75" customHeight="1">
      <c r="A389" s="601"/>
      <c r="B389" s="14"/>
      <c r="C389" s="708" t="s">
        <v>2413</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2224</v>
      </c>
      <c r="F390" s="1973" t="s">
        <v>2414</v>
      </c>
      <c r="G390" s="1974"/>
      <c r="H390" s="1974"/>
      <c r="I390" s="1974"/>
      <c r="J390" s="1974"/>
      <c r="K390" s="1974"/>
      <c r="L390" s="1974"/>
      <c r="M390" s="1974"/>
      <c r="N390" s="1974"/>
      <c r="O390" s="1974"/>
      <c r="P390" s="1974"/>
      <c r="Q390" s="1974"/>
      <c r="R390" s="1974"/>
      <c r="S390" s="1974"/>
      <c r="T390" s="1974"/>
      <c r="U390" s="1974"/>
      <c r="V390" s="1974"/>
      <c r="W390" s="1974"/>
      <c r="X390" s="1974"/>
      <c r="Y390" s="1974"/>
      <c r="Z390" s="1974"/>
      <c r="AA390" s="1974"/>
      <c r="AB390" s="1974"/>
      <c r="AC390" s="1974"/>
      <c r="AD390" s="1974"/>
      <c r="AE390" s="1974"/>
      <c r="AF390" s="1974"/>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1975"/>
      <c r="G391" s="1975"/>
      <c r="H391" s="1975"/>
      <c r="I391" s="1975"/>
      <c r="J391" s="1975"/>
      <c r="K391" s="1975"/>
      <c r="L391" s="1975"/>
      <c r="M391" s="1975"/>
      <c r="N391" s="1975"/>
      <c r="O391" s="1975"/>
      <c r="P391" s="1975"/>
      <c r="Q391" s="1975"/>
      <c r="R391" s="1975"/>
      <c r="S391" s="1975"/>
      <c r="T391" s="1975"/>
      <c r="U391" s="1975"/>
      <c r="V391" s="1975"/>
      <c r="W391" s="1975"/>
      <c r="X391" s="1975"/>
      <c r="Y391" s="1975"/>
      <c r="Z391" s="1975"/>
      <c r="AA391" s="1975"/>
      <c r="AB391" s="1975"/>
      <c r="AC391" s="1975"/>
      <c r="AD391" s="1975"/>
      <c r="AE391" s="1975"/>
      <c r="AF391" s="1975"/>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1975"/>
      <c r="G392" s="1975"/>
      <c r="H392" s="1975"/>
      <c r="I392" s="1975"/>
      <c r="J392" s="1975"/>
      <c r="K392" s="1975"/>
      <c r="L392" s="1975"/>
      <c r="M392" s="1975"/>
      <c r="N392" s="1975"/>
      <c r="O392" s="1975"/>
      <c r="P392" s="1975"/>
      <c r="Q392" s="1975"/>
      <c r="R392" s="1975"/>
      <c r="S392" s="1975"/>
      <c r="T392" s="1975"/>
      <c r="U392" s="1975"/>
      <c r="V392" s="1975"/>
      <c r="W392" s="1975"/>
      <c r="X392" s="1975"/>
      <c r="Y392" s="1975"/>
      <c r="Z392" s="1975"/>
      <c r="AA392" s="1975"/>
      <c r="AB392" s="1975"/>
      <c r="AC392" s="1975"/>
      <c r="AD392" s="1975"/>
      <c r="AE392" s="1975"/>
      <c r="AF392" s="1975"/>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1975"/>
      <c r="G393" s="1975"/>
      <c r="H393" s="1975"/>
      <c r="I393" s="1975"/>
      <c r="J393" s="1975"/>
      <c r="K393" s="1975"/>
      <c r="L393" s="1975"/>
      <c r="M393" s="1975"/>
      <c r="N393" s="1975"/>
      <c r="O393" s="1975"/>
      <c r="P393" s="1975"/>
      <c r="Q393" s="1975"/>
      <c r="R393" s="1975"/>
      <c r="S393" s="1975"/>
      <c r="T393" s="1975"/>
      <c r="U393" s="1975"/>
      <c r="V393" s="1975"/>
      <c r="W393" s="1975"/>
      <c r="X393" s="1975"/>
      <c r="Y393" s="1975"/>
      <c r="Z393" s="1975"/>
      <c r="AA393" s="1975"/>
      <c r="AB393" s="1975"/>
      <c r="AC393" s="1975"/>
      <c r="AD393" s="1975"/>
      <c r="AE393" s="1975"/>
      <c r="AF393" s="1975"/>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1997" t="s">
        <v>935</v>
      </c>
      <c r="D394" s="1294"/>
      <c r="E394" s="715"/>
      <c r="F394" s="717" t="s">
        <v>2415</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034" t="s">
        <v>2416</v>
      </c>
      <c r="AG394" s="1975"/>
      <c r="AH394" s="1975"/>
      <c r="AI394" s="1975"/>
      <c r="AJ394" s="1975"/>
      <c r="AK394" s="1975"/>
      <c r="AL394" s="1988"/>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2228</v>
      </c>
      <c r="F397" s="1973" t="s">
        <v>2417</v>
      </c>
      <c r="G397" s="1974"/>
      <c r="H397" s="1974"/>
      <c r="I397" s="1974"/>
      <c r="J397" s="1974"/>
      <c r="K397" s="1974"/>
      <c r="L397" s="1974"/>
      <c r="M397" s="1974"/>
      <c r="N397" s="1974"/>
      <c r="O397" s="1974"/>
      <c r="P397" s="1974"/>
      <c r="Q397" s="1974"/>
      <c r="R397" s="1974"/>
      <c r="S397" s="1974"/>
      <c r="T397" s="1974"/>
      <c r="U397" s="1974"/>
      <c r="V397" s="1974"/>
      <c r="W397" s="1974"/>
      <c r="X397" s="1974"/>
      <c r="Y397" s="1974"/>
      <c r="Z397" s="1974"/>
      <c r="AA397" s="1974"/>
      <c r="AB397" s="1974"/>
      <c r="AC397" s="1974"/>
      <c r="AD397" s="1974"/>
      <c r="AE397" s="1974"/>
      <c r="AF397" s="1974"/>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1975"/>
      <c r="G398" s="1975"/>
      <c r="H398" s="1975"/>
      <c r="I398" s="1975"/>
      <c r="J398" s="1975"/>
      <c r="K398" s="1975"/>
      <c r="L398" s="1975"/>
      <c r="M398" s="1975"/>
      <c r="N398" s="1975"/>
      <c r="O398" s="1975"/>
      <c r="P398" s="1975"/>
      <c r="Q398" s="1975"/>
      <c r="R398" s="1975"/>
      <c r="S398" s="1975"/>
      <c r="T398" s="1975"/>
      <c r="U398" s="1975"/>
      <c r="V398" s="1975"/>
      <c r="W398" s="1975"/>
      <c r="X398" s="1975"/>
      <c r="Y398" s="1975"/>
      <c r="Z398" s="1975"/>
      <c r="AA398" s="1975"/>
      <c r="AB398" s="1975"/>
      <c r="AC398" s="1975"/>
      <c r="AD398" s="1975"/>
      <c r="AE398" s="1975"/>
      <c r="AF398" s="1975"/>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1975"/>
      <c r="G399" s="1975"/>
      <c r="H399" s="1975"/>
      <c r="I399" s="1975"/>
      <c r="J399" s="1975"/>
      <c r="K399" s="1975"/>
      <c r="L399" s="1975"/>
      <c r="M399" s="1975"/>
      <c r="N399" s="1975"/>
      <c r="O399" s="1975"/>
      <c r="P399" s="1975"/>
      <c r="Q399" s="1975"/>
      <c r="R399" s="1975"/>
      <c r="S399" s="1975"/>
      <c r="T399" s="1975"/>
      <c r="U399" s="1975"/>
      <c r="V399" s="1975"/>
      <c r="W399" s="1975"/>
      <c r="X399" s="1975"/>
      <c r="Y399" s="1975"/>
      <c r="Z399" s="1975"/>
      <c r="AA399" s="1975"/>
      <c r="AB399" s="1975"/>
      <c r="AC399" s="1975"/>
      <c r="AD399" s="1975"/>
      <c r="AE399" s="1975"/>
      <c r="AF399" s="1975"/>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1975"/>
      <c r="G400" s="1975"/>
      <c r="H400" s="1975"/>
      <c r="I400" s="1975"/>
      <c r="J400" s="1975"/>
      <c r="K400" s="1975"/>
      <c r="L400" s="1975"/>
      <c r="M400" s="1975"/>
      <c r="N400" s="1975"/>
      <c r="O400" s="1975"/>
      <c r="P400" s="1975"/>
      <c r="Q400" s="1975"/>
      <c r="R400" s="1975"/>
      <c r="S400" s="1975"/>
      <c r="T400" s="1975"/>
      <c r="U400" s="1975"/>
      <c r="V400" s="1975"/>
      <c r="W400" s="1975"/>
      <c r="X400" s="1975"/>
      <c r="Y400" s="1975"/>
      <c r="Z400" s="1975"/>
      <c r="AA400" s="1975"/>
      <c r="AB400" s="1975"/>
      <c r="AC400" s="1975"/>
      <c r="AD400" s="1975"/>
      <c r="AE400" s="1975"/>
      <c r="AF400" s="1975"/>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1975"/>
      <c r="G401" s="1975"/>
      <c r="H401" s="1975"/>
      <c r="I401" s="1975"/>
      <c r="J401" s="1975"/>
      <c r="K401" s="1975"/>
      <c r="L401" s="1975"/>
      <c r="M401" s="1975"/>
      <c r="N401" s="1975"/>
      <c r="O401" s="1975"/>
      <c r="P401" s="1975"/>
      <c r="Q401" s="1975"/>
      <c r="R401" s="1975"/>
      <c r="S401" s="1975"/>
      <c r="T401" s="1975"/>
      <c r="U401" s="1975"/>
      <c r="V401" s="1975"/>
      <c r="W401" s="1975"/>
      <c r="X401" s="1975"/>
      <c r="Y401" s="1975"/>
      <c r="Z401" s="1975"/>
      <c r="AA401" s="1975"/>
      <c r="AB401" s="1975"/>
      <c r="AC401" s="1975"/>
      <c r="AD401" s="1975"/>
      <c r="AE401" s="1975"/>
      <c r="AF401" s="1975"/>
      <c r="AL401" s="728"/>
      <c r="AN401" s="595"/>
      <c r="BS401" s="30"/>
      <c r="BT401" s="30"/>
      <c r="BU401" s="14"/>
      <c r="BV401" s="14"/>
      <c r="BW401" s="14"/>
      <c r="BX401" s="14"/>
      <c r="BY401" s="14"/>
      <c r="BZ401" s="14"/>
      <c r="CA401" s="14"/>
      <c r="CB401" s="14"/>
      <c r="CC401" s="14"/>
    </row>
    <row r="402" spans="1:81" s="549" customFormat="1" ht="12.75" customHeight="1">
      <c r="A402" s="536"/>
      <c r="B402" s="14"/>
      <c r="C402" s="1997" t="s">
        <v>935</v>
      </c>
      <c r="D402" s="1294"/>
      <c r="E402" s="687"/>
      <c r="F402" s="717" t="s">
        <v>2418</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034" t="s">
        <v>2416</v>
      </c>
      <c r="AG402" s="1975"/>
      <c r="AH402" s="1975"/>
      <c r="AI402" s="1975"/>
      <c r="AJ402" s="1975"/>
      <c r="AK402" s="1975"/>
      <c r="AL402" s="1988"/>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2236</v>
      </c>
      <c r="F405" s="1973" t="s">
        <v>2419</v>
      </c>
      <c r="G405" s="1974"/>
      <c r="H405" s="1974"/>
      <c r="I405" s="1974"/>
      <c r="J405" s="1974"/>
      <c r="K405" s="1974"/>
      <c r="L405" s="1974"/>
      <c r="M405" s="1974"/>
      <c r="N405" s="1974"/>
      <c r="O405" s="1974"/>
      <c r="P405" s="1974"/>
      <c r="Q405" s="1974"/>
      <c r="R405" s="1974"/>
      <c r="S405" s="1974"/>
      <c r="T405" s="1974"/>
      <c r="U405" s="1974"/>
      <c r="V405" s="1974"/>
      <c r="W405" s="1974"/>
      <c r="X405" s="1974"/>
      <c r="Y405" s="1974"/>
      <c r="Z405" s="1974"/>
      <c r="AA405" s="1974"/>
      <c r="AB405" s="1974"/>
      <c r="AC405" s="1974"/>
      <c r="AD405" s="1974"/>
      <c r="AE405" s="1974"/>
      <c r="AF405" s="1974"/>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1975"/>
      <c r="G406" s="1975"/>
      <c r="H406" s="1975"/>
      <c r="I406" s="1975"/>
      <c r="J406" s="1975"/>
      <c r="K406" s="1975"/>
      <c r="L406" s="1975"/>
      <c r="M406" s="1975"/>
      <c r="N406" s="1975"/>
      <c r="O406" s="1975"/>
      <c r="P406" s="1975"/>
      <c r="Q406" s="1975"/>
      <c r="R406" s="1975"/>
      <c r="S406" s="1975"/>
      <c r="T406" s="1975"/>
      <c r="U406" s="1975"/>
      <c r="V406" s="1975"/>
      <c r="W406" s="1975"/>
      <c r="X406" s="1975"/>
      <c r="Y406" s="1975"/>
      <c r="Z406" s="1975"/>
      <c r="AA406" s="1975"/>
      <c r="AB406" s="1975"/>
      <c r="AC406" s="1975"/>
      <c r="AD406" s="1975"/>
      <c r="AE406" s="1975"/>
      <c r="AF406" s="1975"/>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1975"/>
      <c r="G407" s="1975"/>
      <c r="H407" s="1975"/>
      <c r="I407" s="1975"/>
      <c r="J407" s="1975"/>
      <c r="K407" s="1975"/>
      <c r="L407" s="1975"/>
      <c r="M407" s="1975"/>
      <c r="N407" s="1975"/>
      <c r="O407" s="1975"/>
      <c r="P407" s="1975"/>
      <c r="Q407" s="1975"/>
      <c r="R407" s="1975"/>
      <c r="S407" s="1975"/>
      <c r="T407" s="1975"/>
      <c r="U407" s="1975"/>
      <c r="V407" s="1975"/>
      <c r="W407" s="1975"/>
      <c r="X407" s="1975"/>
      <c r="Y407" s="1975"/>
      <c r="Z407" s="1975"/>
      <c r="AA407" s="1975"/>
      <c r="AB407" s="1975"/>
      <c r="AC407" s="1975"/>
      <c r="AD407" s="1975"/>
      <c r="AE407" s="1975"/>
      <c r="AF407" s="1975"/>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1975"/>
      <c r="G408" s="1975"/>
      <c r="H408" s="1975"/>
      <c r="I408" s="1975"/>
      <c r="J408" s="1975"/>
      <c r="K408" s="1975"/>
      <c r="L408" s="1975"/>
      <c r="M408" s="1975"/>
      <c r="N408" s="1975"/>
      <c r="O408" s="1975"/>
      <c r="P408" s="1975"/>
      <c r="Q408" s="1975"/>
      <c r="R408" s="1975"/>
      <c r="S408" s="1975"/>
      <c r="T408" s="1975"/>
      <c r="U408" s="1975"/>
      <c r="V408" s="1975"/>
      <c r="W408" s="1975"/>
      <c r="X408" s="1975"/>
      <c r="Y408" s="1975"/>
      <c r="Z408" s="1975"/>
      <c r="AA408" s="1975"/>
      <c r="AB408" s="1975"/>
      <c r="AC408" s="1975"/>
      <c r="AD408" s="1975"/>
      <c r="AE408" s="1975"/>
      <c r="AF408" s="1975"/>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1975"/>
      <c r="G409" s="1975"/>
      <c r="H409" s="1975"/>
      <c r="I409" s="1975"/>
      <c r="J409" s="1975"/>
      <c r="K409" s="1975"/>
      <c r="L409" s="1975"/>
      <c r="M409" s="1975"/>
      <c r="N409" s="1975"/>
      <c r="O409" s="1975"/>
      <c r="P409" s="1975"/>
      <c r="Q409" s="1975"/>
      <c r="R409" s="1975"/>
      <c r="S409" s="1975"/>
      <c r="T409" s="1975"/>
      <c r="U409" s="1975"/>
      <c r="V409" s="1975"/>
      <c r="W409" s="1975"/>
      <c r="X409" s="1975"/>
      <c r="Y409" s="1975"/>
      <c r="Z409" s="1975"/>
      <c r="AA409" s="1975"/>
      <c r="AB409" s="1975"/>
      <c r="AC409" s="1975"/>
      <c r="AD409" s="1975"/>
      <c r="AE409" s="1975"/>
      <c r="AF409" s="1975"/>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1997" t="s">
        <v>969</v>
      </c>
      <c r="D410" s="1294"/>
      <c r="E410" s="687"/>
      <c r="F410" s="717" t="s">
        <v>2420</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034" t="s">
        <v>2421</v>
      </c>
      <c r="AG410" s="1975"/>
      <c r="AH410" s="1975"/>
      <c r="AI410" s="1975"/>
      <c r="AJ410" s="1975"/>
      <c r="AK410" s="1975"/>
      <c r="AL410" s="1988"/>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1997" t="s">
        <v>935</v>
      </c>
      <c r="D412" s="1294"/>
      <c r="E412" s="687"/>
      <c r="F412" s="734" t="s">
        <v>2422</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034" t="s">
        <v>2416</v>
      </c>
      <c r="AG412" s="1975"/>
      <c r="AH412" s="1975"/>
      <c r="AI412" s="1975"/>
      <c r="AJ412" s="1975"/>
      <c r="AK412" s="1975"/>
      <c r="AL412" s="1988"/>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2423</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2238</v>
      </c>
      <c r="F416" s="1973" t="s">
        <v>2424</v>
      </c>
      <c r="G416" s="1974"/>
      <c r="H416" s="1974"/>
      <c r="I416" s="1974"/>
      <c r="J416" s="1974"/>
      <c r="K416" s="1974"/>
      <c r="L416" s="1974"/>
      <c r="M416" s="1974"/>
      <c r="N416" s="1974"/>
      <c r="O416" s="1974"/>
      <c r="P416" s="1974"/>
      <c r="Q416" s="1974"/>
      <c r="R416" s="1974"/>
      <c r="S416" s="1974"/>
      <c r="T416" s="1974"/>
      <c r="U416" s="1974"/>
      <c r="V416" s="1974"/>
      <c r="W416" s="1974"/>
      <c r="X416" s="1974"/>
      <c r="Y416" s="1974"/>
      <c r="Z416" s="1974"/>
      <c r="AA416" s="1974"/>
      <c r="AB416" s="1974"/>
      <c r="AC416" s="1974"/>
      <c r="AD416" s="1974"/>
      <c r="AE416" s="1974"/>
      <c r="AF416" s="1974"/>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1975"/>
      <c r="G417" s="1975"/>
      <c r="H417" s="1975"/>
      <c r="I417" s="1975"/>
      <c r="J417" s="1975"/>
      <c r="K417" s="1975"/>
      <c r="L417" s="1975"/>
      <c r="M417" s="1975"/>
      <c r="N417" s="1975"/>
      <c r="O417" s="1975"/>
      <c r="P417" s="1975"/>
      <c r="Q417" s="1975"/>
      <c r="R417" s="1975"/>
      <c r="S417" s="1975"/>
      <c r="T417" s="1975"/>
      <c r="U417" s="1975"/>
      <c r="V417" s="1975"/>
      <c r="W417" s="1975"/>
      <c r="X417" s="1975"/>
      <c r="Y417" s="1975"/>
      <c r="Z417" s="1975"/>
      <c r="AA417" s="1975"/>
      <c r="AB417" s="1975"/>
      <c r="AC417" s="1975"/>
      <c r="AD417" s="1975"/>
      <c r="AE417" s="1975"/>
      <c r="AF417" s="1975"/>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1536"/>
      <c r="G418" s="1536"/>
      <c r="H418" s="1536"/>
      <c r="I418" s="1536"/>
      <c r="J418" s="1536"/>
      <c r="K418" s="1536"/>
      <c r="L418" s="1536"/>
      <c r="M418" s="1536"/>
      <c r="N418" s="1536"/>
      <c r="O418" s="1536"/>
      <c r="P418" s="1536"/>
      <c r="Q418" s="1536"/>
      <c r="R418" s="1536"/>
      <c r="S418" s="1536"/>
      <c r="T418" s="1536"/>
      <c r="U418" s="1536"/>
      <c r="V418" s="1536"/>
      <c r="W418" s="1536"/>
      <c r="X418" s="1536"/>
      <c r="Y418" s="1536"/>
      <c r="Z418" s="1536"/>
      <c r="AA418" s="1536"/>
      <c r="AB418" s="1536"/>
      <c r="AC418" s="1536"/>
      <c r="AD418" s="1536"/>
      <c r="AE418" s="1536"/>
      <c r="AF418" s="153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1975"/>
      <c r="G419" s="1975"/>
      <c r="H419" s="1975"/>
      <c r="I419" s="1975"/>
      <c r="J419" s="1975"/>
      <c r="K419" s="1975"/>
      <c r="L419" s="1975"/>
      <c r="M419" s="1975"/>
      <c r="N419" s="1975"/>
      <c r="O419" s="1975"/>
      <c r="P419" s="1975"/>
      <c r="Q419" s="1975"/>
      <c r="R419" s="1975"/>
      <c r="S419" s="1975"/>
      <c r="T419" s="1975"/>
      <c r="U419" s="1975"/>
      <c r="V419" s="1975"/>
      <c r="W419" s="1975"/>
      <c r="X419" s="1975"/>
      <c r="Y419" s="1975"/>
      <c r="Z419" s="1975"/>
      <c r="AA419" s="1975"/>
      <c r="AB419" s="1975"/>
      <c r="AC419" s="1975"/>
      <c r="AD419" s="1975"/>
      <c r="AE419" s="1975"/>
      <c r="AF419" s="1975"/>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1997" t="s">
        <v>935</v>
      </c>
      <c r="D420" s="1294"/>
      <c r="E420" s="687"/>
      <c r="F420" s="717" t="s">
        <v>2425</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034" t="s">
        <v>2416</v>
      </c>
      <c r="AG420" s="1975"/>
      <c r="AH420" s="1975"/>
      <c r="AI420" s="1975"/>
      <c r="AJ420" s="1975"/>
      <c r="AK420" s="1975"/>
      <c r="AL420" s="1988"/>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1997" t="s">
        <v>969</v>
      </c>
      <c r="D422" s="1294"/>
      <c r="E422" s="715"/>
      <c r="F422" s="717" t="s">
        <v>2426</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034" t="s">
        <v>2427</v>
      </c>
      <c r="AG422" s="1975"/>
      <c r="AH422" s="1975"/>
      <c r="AI422" s="1975"/>
      <c r="AJ422" s="1975"/>
      <c r="AK422" s="1975"/>
      <c r="AL422" s="1988"/>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1997" t="s">
        <v>935</v>
      </c>
      <c r="D425" s="1294"/>
      <c r="E425" s="711" t="s">
        <v>2428</v>
      </c>
      <c r="F425" s="2046" t="s">
        <v>2429</v>
      </c>
      <c r="G425" s="1974"/>
      <c r="H425" s="1974"/>
      <c r="I425" s="1974"/>
      <c r="J425" s="1974"/>
      <c r="K425" s="1974"/>
      <c r="L425" s="1974"/>
      <c r="M425" s="1974"/>
      <c r="N425" s="1974"/>
      <c r="O425" s="1974"/>
      <c r="P425" s="1974"/>
      <c r="Q425" s="1974"/>
      <c r="R425" s="1974"/>
      <c r="S425" s="1974"/>
      <c r="T425" s="1974"/>
      <c r="U425" s="1974"/>
      <c r="V425" s="1974"/>
      <c r="W425" s="1974"/>
      <c r="X425" s="1974"/>
      <c r="Y425" s="1974"/>
      <c r="Z425" s="1974"/>
      <c r="AA425" s="1974"/>
      <c r="AB425" s="1974"/>
      <c r="AC425" s="1974"/>
      <c r="AD425" s="1974"/>
      <c r="AE425" s="1974"/>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1975"/>
      <c r="G426" s="1975"/>
      <c r="H426" s="1975"/>
      <c r="I426" s="1975"/>
      <c r="J426" s="1975"/>
      <c r="K426" s="1975"/>
      <c r="L426" s="1975"/>
      <c r="M426" s="1975"/>
      <c r="N426" s="1975"/>
      <c r="O426" s="1975"/>
      <c r="P426" s="1975"/>
      <c r="Q426" s="1975"/>
      <c r="R426" s="1975"/>
      <c r="S426" s="1975"/>
      <c r="T426" s="1975"/>
      <c r="U426" s="1975"/>
      <c r="V426" s="1975"/>
      <c r="W426" s="1975"/>
      <c r="X426" s="1975"/>
      <c r="Y426" s="1975"/>
      <c r="Z426" s="1975"/>
      <c r="AA426" s="1975"/>
      <c r="AB426" s="1975"/>
      <c r="AC426" s="1975"/>
      <c r="AD426" s="1975"/>
      <c r="AE426" s="1975"/>
      <c r="AF426" s="2037" t="s">
        <v>2416</v>
      </c>
      <c r="AG426" s="1975"/>
      <c r="AH426" s="1975"/>
      <c r="AI426" s="1975"/>
      <c r="AJ426" s="1975"/>
      <c r="AK426" s="1975"/>
      <c r="AL426" s="1988"/>
      <c r="AM426" s="568"/>
      <c r="AN426" s="595"/>
      <c r="BS426" s="568"/>
      <c r="BT426" s="568"/>
      <c r="BY426" s="568"/>
      <c r="BZ426" s="568"/>
      <c r="CA426" s="568"/>
      <c r="CB426" s="568"/>
      <c r="CC426" s="568"/>
    </row>
    <row r="427" spans="1:81" s="549" customFormat="1" ht="12.75" customHeight="1">
      <c r="A427" s="536"/>
      <c r="B427" s="14"/>
      <c r="C427" s="727"/>
      <c r="D427" s="14"/>
      <c r="E427" s="687"/>
      <c r="F427" s="1975"/>
      <c r="G427" s="1975"/>
      <c r="H427" s="1975"/>
      <c r="I427" s="1975"/>
      <c r="J427" s="1975"/>
      <c r="K427" s="1975"/>
      <c r="L427" s="1975"/>
      <c r="M427" s="1975"/>
      <c r="N427" s="1975"/>
      <c r="O427" s="1975"/>
      <c r="P427" s="1975"/>
      <c r="Q427" s="1975"/>
      <c r="R427" s="1975"/>
      <c r="S427" s="1975"/>
      <c r="T427" s="1975"/>
      <c r="U427" s="1975"/>
      <c r="V427" s="1975"/>
      <c r="W427" s="1975"/>
      <c r="X427" s="1975"/>
      <c r="Y427" s="1975"/>
      <c r="Z427" s="1975"/>
      <c r="AA427" s="1975"/>
      <c r="AB427" s="1975"/>
      <c r="AC427" s="1975"/>
      <c r="AD427" s="1975"/>
      <c r="AE427" s="1975"/>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1982"/>
      <c r="G428" s="1982"/>
      <c r="H428" s="1982"/>
      <c r="I428" s="1982"/>
      <c r="J428" s="1982"/>
      <c r="K428" s="1982"/>
      <c r="L428" s="1982"/>
      <c r="M428" s="1982"/>
      <c r="N428" s="1982"/>
      <c r="O428" s="1982"/>
      <c r="P428" s="1982"/>
      <c r="Q428" s="1982"/>
      <c r="R428" s="1982"/>
      <c r="S428" s="1982"/>
      <c r="T428" s="1982"/>
      <c r="U428" s="1982"/>
      <c r="V428" s="1982"/>
      <c r="W428" s="1982"/>
      <c r="X428" s="1982"/>
      <c r="Y428" s="1982"/>
      <c r="Z428" s="1982"/>
      <c r="AA428" s="1982"/>
      <c r="AB428" s="1982"/>
      <c r="AC428" s="1982"/>
      <c r="AD428" s="1982"/>
      <c r="AE428" s="1982"/>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2430</v>
      </c>
      <c r="F430" s="1973" t="s">
        <v>2431</v>
      </c>
      <c r="G430" s="1974"/>
      <c r="H430" s="1974"/>
      <c r="I430" s="1974"/>
      <c r="J430" s="1974"/>
      <c r="K430" s="1974"/>
      <c r="L430" s="1974"/>
      <c r="M430" s="1974"/>
      <c r="N430" s="1974"/>
      <c r="O430" s="1974"/>
      <c r="P430" s="1974"/>
      <c r="Q430" s="1974"/>
      <c r="R430" s="1974"/>
      <c r="S430" s="1974"/>
      <c r="T430" s="1974"/>
      <c r="U430" s="1974"/>
      <c r="V430" s="1974"/>
      <c r="W430" s="1974"/>
      <c r="X430" s="1974"/>
      <c r="Y430" s="1974"/>
      <c r="Z430" s="1974"/>
      <c r="AA430" s="1974"/>
      <c r="AB430" s="1974"/>
      <c r="AC430" s="1974"/>
      <c r="AD430" s="1974"/>
      <c r="AE430" s="1974"/>
      <c r="AF430" s="743"/>
      <c r="AG430" s="743"/>
      <c r="AH430" s="743"/>
      <c r="AI430" s="743"/>
      <c r="AJ430" s="743"/>
      <c r="AK430" s="743"/>
      <c r="AL430" s="744"/>
      <c r="AM430" s="568"/>
    </row>
    <row r="431" spans="1:81">
      <c r="A431" s="536"/>
      <c r="C431" s="727"/>
      <c r="E431" s="687"/>
      <c r="F431" s="1536"/>
      <c r="G431" s="1536"/>
      <c r="H431" s="1536"/>
      <c r="I431" s="1536"/>
      <c r="J431" s="1536"/>
      <c r="K431" s="1536"/>
      <c r="L431" s="1536"/>
      <c r="M431" s="1536"/>
      <c r="N431" s="1536"/>
      <c r="O431" s="1536"/>
      <c r="P431" s="1536"/>
      <c r="Q431" s="1536"/>
      <c r="R431" s="1536"/>
      <c r="S431" s="1536"/>
      <c r="T431" s="1536"/>
      <c r="U431" s="1536"/>
      <c r="V431" s="1536"/>
      <c r="W431" s="1536"/>
      <c r="X431" s="1536"/>
      <c r="Y431" s="1536"/>
      <c r="Z431" s="1536"/>
      <c r="AA431" s="1536"/>
      <c r="AB431" s="1536"/>
      <c r="AC431" s="1536"/>
      <c r="AD431" s="1536"/>
      <c r="AE431" s="1536"/>
      <c r="AF431" s="539"/>
      <c r="AG431" s="536"/>
      <c r="AH431" s="549"/>
      <c r="AI431" s="549"/>
      <c r="AJ431" s="549"/>
      <c r="AK431" s="549"/>
      <c r="AL431" s="728"/>
      <c r="AM431" s="568"/>
    </row>
    <row r="432" spans="1:81" s="549" customFormat="1" ht="12.75" customHeight="1">
      <c r="A432" s="536"/>
      <c r="B432" s="14"/>
      <c r="C432" s="727"/>
      <c r="D432" s="14"/>
      <c r="E432" s="687"/>
      <c r="F432" s="1975"/>
      <c r="G432" s="1975"/>
      <c r="H432" s="1975"/>
      <c r="I432" s="1975"/>
      <c r="J432" s="1975"/>
      <c r="K432" s="1975"/>
      <c r="L432" s="1975"/>
      <c r="M432" s="1975"/>
      <c r="N432" s="1975"/>
      <c r="O432" s="1975"/>
      <c r="P432" s="1975"/>
      <c r="Q432" s="1975"/>
      <c r="R432" s="1975"/>
      <c r="S432" s="1975"/>
      <c r="T432" s="1975"/>
      <c r="U432" s="1975"/>
      <c r="V432" s="1975"/>
      <c r="W432" s="1975"/>
      <c r="X432" s="1975"/>
      <c r="Y432" s="1975"/>
      <c r="Z432" s="1975"/>
      <c r="AA432" s="1975"/>
      <c r="AB432" s="1975"/>
      <c r="AC432" s="1975"/>
      <c r="AD432" s="1975"/>
      <c r="AE432" s="1975"/>
      <c r="AL432" s="728"/>
      <c r="AM432" s="568"/>
      <c r="AN432" s="595"/>
    </row>
    <row r="433" spans="1:60" s="549" customFormat="1" ht="12.75" customHeight="1">
      <c r="A433" s="536"/>
      <c r="B433" s="14"/>
      <c r="C433" s="735"/>
      <c r="F433" s="1975"/>
      <c r="G433" s="1975"/>
      <c r="H433" s="1975"/>
      <c r="I433" s="1975"/>
      <c r="J433" s="1975"/>
      <c r="K433" s="1975"/>
      <c r="L433" s="1975"/>
      <c r="M433" s="1975"/>
      <c r="N433" s="1975"/>
      <c r="O433" s="1975"/>
      <c r="P433" s="1975"/>
      <c r="Q433" s="1975"/>
      <c r="R433" s="1975"/>
      <c r="S433" s="1975"/>
      <c r="T433" s="1975"/>
      <c r="U433" s="1975"/>
      <c r="V433" s="1975"/>
      <c r="W433" s="1975"/>
      <c r="X433" s="1975"/>
      <c r="Y433" s="1975"/>
      <c r="Z433" s="1975"/>
      <c r="AA433" s="1975"/>
      <c r="AB433" s="1975"/>
      <c r="AC433" s="1975"/>
      <c r="AD433" s="1975"/>
      <c r="AE433" s="1975"/>
      <c r="AL433" s="728"/>
      <c r="AM433" s="568"/>
      <c r="AN433" s="595"/>
    </row>
    <row r="434" spans="1:60" s="549" customFormat="1" ht="12.75" customHeight="1">
      <c r="A434" s="536"/>
      <c r="B434" s="14"/>
      <c r="C434" s="1997" t="s">
        <v>935</v>
      </c>
      <c r="D434" s="1294"/>
      <c r="E434" s="687"/>
      <c r="F434" s="717" t="s">
        <v>2432</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037" t="s">
        <v>2416</v>
      </c>
      <c r="AG434" s="1975"/>
      <c r="AH434" s="1975"/>
      <c r="AI434" s="1975"/>
      <c r="AJ434" s="1975"/>
      <c r="AK434" s="1975"/>
      <c r="AL434" s="1988"/>
      <c r="AM434" s="568"/>
      <c r="AN434" s="595"/>
    </row>
    <row r="435" spans="1:60" s="549" customFormat="1" ht="12.75" customHeight="1">
      <c r="A435" s="536"/>
      <c r="B435" s="14"/>
      <c r="C435" s="735"/>
      <c r="AL435" s="728"/>
      <c r="AM435" s="568"/>
      <c r="AN435" s="595"/>
    </row>
    <row r="436" spans="1:60" s="549" customFormat="1" ht="12.75" customHeight="1">
      <c r="A436" s="536"/>
      <c r="B436" s="14"/>
      <c r="C436" s="1997" t="s">
        <v>935</v>
      </c>
      <c r="D436" s="1294"/>
      <c r="E436" s="715"/>
      <c r="F436" s="717" t="s">
        <v>2433</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037" t="s">
        <v>2427</v>
      </c>
      <c r="AG436" s="1975"/>
      <c r="AH436" s="1975"/>
      <c r="AI436" s="1975"/>
      <c r="AJ436" s="1975"/>
      <c r="AK436" s="1975"/>
      <c r="AL436" s="1988"/>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2434</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2435</v>
      </c>
      <c r="F440" s="1973" t="s">
        <v>2436</v>
      </c>
      <c r="G440" s="1974"/>
      <c r="H440" s="1974"/>
      <c r="I440" s="1974"/>
      <c r="J440" s="1974"/>
      <c r="K440" s="1974"/>
      <c r="L440" s="1974"/>
      <c r="M440" s="1974"/>
      <c r="N440" s="1974"/>
      <c r="O440" s="1974"/>
      <c r="P440" s="1974"/>
      <c r="Q440" s="1974"/>
      <c r="R440" s="1974"/>
      <c r="S440" s="1974"/>
      <c r="T440" s="1974"/>
      <c r="U440" s="1974"/>
      <c r="V440" s="1974"/>
      <c r="W440" s="1974"/>
      <c r="X440" s="1974"/>
      <c r="Y440" s="1974"/>
      <c r="Z440" s="1974"/>
      <c r="AA440" s="1974"/>
      <c r="AB440" s="1974"/>
      <c r="AC440" s="1974"/>
      <c r="AD440" s="1974"/>
      <c r="AE440" s="1974"/>
      <c r="AF440" s="710"/>
      <c r="AG440" s="710"/>
      <c r="AH440" s="710"/>
      <c r="AI440" s="710"/>
      <c r="AJ440" s="710"/>
      <c r="AK440" s="710"/>
      <c r="AL440" s="741"/>
      <c r="AM440" s="568"/>
      <c r="AN440" s="595"/>
    </row>
    <row r="441" spans="1:60" s="549" customFormat="1" ht="12.75" customHeight="1">
      <c r="A441" s="536"/>
      <c r="B441" s="14"/>
      <c r="C441" s="727"/>
      <c r="D441" s="14"/>
      <c r="E441" s="687"/>
      <c r="F441" s="1975"/>
      <c r="G441" s="1975"/>
      <c r="H441" s="1975"/>
      <c r="I441" s="1975"/>
      <c r="J441" s="1975"/>
      <c r="K441" s="1975"/>
      <c r="L441" s="1975"/>
      <c r="M441" s="1975"/>
      <c r="N441" s="1975"/>
      <c r="O441" s="1975"/>
      <c r="P441" s="1975"/>
      <c r="Q441" s="1975"/>
      <c r="R441" s="1975"/>
      <c r="S441" s="1975"/>
      <c r="T441" s="1975"/>
      <c r="U441" s="1975"/>
      <c r="V441" s="1975"/>
      <c r="W441" s="1975"/>
      <c r="X441" s="1975"/>
      <c r="Y441" s="1975"/>
      <c r="Z441" s="1975"/>
      <c r="AA441" s="1975"/>
      <c r="AB441" s="1975"/>
      <c r="AC441" s="1975"/>
      <c r="AD441" s="1975"/>
      <c r="AE441" s="1975"/>
      <c r="AF441" s="539"/>
      <c r="AG441" s="536"/>
      <c r="AL441" s="728"/>
      <c r="AM441" s="568"/>
      <c r="AN441" s="595"/>
    </row>
    <row r="442" spans="1:60" s="549" customFormat="1" ht="12.45" customHeight="1">
      <c r="A442" s="536"/>
      <c r="B442" s="14"/>
      <c r="C442" s="727"/>
      <c r="D442" s="14"/>
      <c r="E442" s="687"/>
      <c r="F442" s="1975"/>
      <c r="G442" s="1975"/>
      <c r="H442" s="1975"/>
      <c r="I442" s="1975"/>
      <c r="J442" s="1975"/>
      <c r="K442" s="1975"/>
      <c r="L442" s="1975"/>
      <c r="M442" s="1975"/>
      <c r="N442" s="1975"/>
      <c r="O442" s="1975"/>
      <c r="P442" s="1975"/>
      <c r="Q442" s="1975"/>
      <c r="R442" s="1975"/>
      <c r="S442" s="1975"/>
      <c r="T442" s="1975"/>
      <c r="U442" s="1975"/>
      <c r="V442" s="1975"/>
      <c r="W442" s="1975"/>
      <c r="X442" s="1975"/>
      <c r="Y442" s="1975"/>
      <c r="Z442" s="1975"/>
      <c r="AA442" s="1975"/>
      <c r="AB442" s="1975"/>
      <c r="AC442" s="1975"/>
      <c r="AD442" s="1975"/>
      <c r="AE442" s="1975"/>
      <c r="AL442" s="728"/>
      <c r="AM442" s="568"/>
      <c r="AN442" s="595"/>
    </row>
    <row r="443" spans="1:60" s="549" customFormat="1" ht="12.75" customHeight="1">
      <c r="A443" s="536"/>
      <c r="B443" s="14"/>
      <c r="C443" s="1997" t="s">
        <v>935</v>
      </c>
      <c r="D443" s="1294"/>
      <c r="E443" s="687"/>
      <c r="F443" s="717" t="s">
        <v>2437</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037" t="s">
        <v>2416</v>
      </c>
      <c r="AG443" s="1975"/>
      <c r="AH443" s="1975"/>
      <c r="AI443" s="1975"/>
      <c r="AJ443" s="1975"/>
      <c r="AK443" s="1975"/>
      <c r="AL443" s="1988"/>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2" customHeight="1">
      <c r="A446" s="536"/>
      <c r="C446" s="742"/>
      <c r="D446" s="743"/>
      <c r="E446" s="711" t="s">
        <v>2438</v>
      </c>
      <c r="F446" s="1973" t="s">
        <v>2439</v>
      </c>
      <c r="G446" s="1974"/>
      <c r="H446" s="1974"/>
      <c r="I446" s="1974"/>
      <c r="J446" s="1974"/>
      <c r="K446" s="1974"/>
      <c r="L446" s="1974"/>
      <c r="M446" s="1974"/>
      <c r="N446" s="1974"/>
      <c r="O446" s="1974"/>
      <c r="P446" s="1974"/>
      <c r="Q446" s="1974"/>
      <c r="R446" s="1974"/>
      <c r="S446" s="1974"/>
      <c r="T446" s="1974"/>
      <c r="U446" s="1974"/>
      <c r="V446" s="1974"/>
      <c r="W446" s="1974"/>
      <c r="X446" s="1974"/>
      <c r="Y446" s="1974"/>
      <c r="Z446" s="1974"/>
      <c r="AA446" s="1974"/>
      <c r="AB446" s="1974"/>
      <c r="AC446" s="1974"/>
      <c r="AD446" s="1974"/>
      <c r="AE446" s="1974"/>
      <c r="AF446" s="743"/>
      <c r="AG446" s="743"/>
      <c r="AH446" s="743"/>
      <c r="AI446" s="743"/>
      <c r="AJ446" s="743"/>
      <c r="AK446" s="743"/>
      <c r="AL446" s="744"/>
      <c r="AM446" s="568"/>
      <c r="AO446" s="549"/>
      <c r="AP446" s="549"/>
      <c r="BD446" s="14"/>
      <c r="BE446" s="14"/>
      <c r="BF446" s="14"/>
      <c r="BG446" s="14"/>
      <c r="BH446" s="14"/>
    </row>
    <row r="447" spans="1:60">
      <c r="A447" s="536"/>
      <c r="C447" s="727"/>
      <c r="E447" s="687"/>
      <c r="F447" s="1536"/>
      <c r="G447" s="1536"/>
      <c r="H447" s="1536"/>
      <c r="I447" s="1536"/>
      <c r="J447" s="1536"/>
      <c r="K447" s="1536"/>
      <c r="L447" s="1536"/>
      <c r="M447" s="1536"/>
      <c r="N447" s="1536"/>
      <c r="O447" s="1536"/>
      <c r="P447" s="1536"/>
      <c r="Q447" s="1536"/>
      <c r="R447" s="1536"/>
      <c r="S447" s="1536"/>
      <c r="T447" s="1536"/>
      <c r="U447" s="1536"/>
      <c r="V447" s="1536"/>
      <c r="W447" s="1536"/>
      <c r="X447" s="1536"/>
      <c r="Y447" s="1536"/>
      <c r="Z447" s="1536"/>
      <c r="AA447" s="1536"/>
      <c r="AB447" s="1536"/>
      <c r="AC447" s="1536"/>
      <c r="AD447" s="1536"/>
      <c r="AE447" s="1536"/>
      <c r="AF447" s="592"/>
      <c r="AG447" s="592"/>
      <c r="AH447" s="592"/>
      <c r="AI447" s="592"/>
      <c r="AJ447" s="592"/>
      <c r="AK447" s="592"/>
      <c r="AL447" s="746"/>
      <c r="AM447" s="568"/>
      <c r="AO447" s="549"/>
      <c r="AP447" s="549"/>
    </row>
    <row r="448" spans="1:60" s="549" customFormat="1" ht="12.75" customHeight="1">
      <c r="A448" s="536"/>
      <c r="B448" s="14"/>
      <c r="C448" s="727"/>
      <c r="D448" s="14"/>
      <c r="E448" s="687"/>
      <c r="F448" s="1975"/>
      <c r="G448" s="1975"/>
      <c r="H448" s="1975"/>
      <c r="I448" s="1975"/>
      <c r="J448" s="1975"/>
      <c r="K448" s="1975"/>
      <c r="L448" s="1975"/>
      <c r="M448" s="1975"/>
      <c r="N448" s="1975"/>
      <c r="O448" s="1975"/>
      <c r="P448" s="1975"/>
      <c r="Q448" s="1975"/>
      <c r="R448" s="1975"/>
      <c r="S448" s="1975"/>
      <c r="T448" s="1975"/>
      <c r="U448" s="1975"/>
      <c r="V448" s="1975"/>
      <c r="W448" s="1975"/>
      <c r="X448" s="1975"/>
      <c r="Y448" s="1975"/>
      <c r="Z448" s="1975"/>
      <c r="AA448" s="1975"/>
      <c r="AB448" s="1975"/>
      <c r="AC448" s="1975"/>
      <c r="AD448" s="1975"/>
      <c r="AE448" s="1975"/>
      <c r="AF448" s="592"/>
      <c r="AG448" s="592"/>
      <c r="AH448" s="592"/>
      <c r="AI448" s="592"/>
      <c r="AJ448" s="592"/>
      <c r="AK448" s="592"/>
      <c r="AL448" s="746"/>
      <c r="AM448" s="568"/>
      <c r="AN448" s="595"/>
    </row>
    <row r="449" spans="1:42" s="549" customFormat="1" ht="12.75" customHeight="1">
      <c r="A449" s="536"/>
      <c r="B449" s="14"/>
      <c r="C449" s="747"/>
      <c r="D449" s="726"/>
      <c r="E449" s="715"/>
      <c r="F449" s="1975"/>
      <c r="G449" s="1975"/>
      <c r="H449" s="1975"/>
      <c r="I449" s="1975"/>
      <c r="J449" s="1975"/>
      <c r="K449" s="1975"/>
      <c r="L449" s="1975"/>
      <c r="M449" s="1975"/>
      <c r="N449" s="1975"/>
      <c r="O449" s="1975"/>
      <c r="P449" s="1975"/>
      <c r="Q449" s="1975"/>
      <c r="R449" s="1975"/>
      <c r="S449" s="1975"/>
      <c r="T449" s="1975"/>
      <c r="U449" s="1975"/>
      <c r="V449" s="1975"/>
      <c r="W449" s="1975"/>
      <c r="X449" s="1975"/>
      <c r="Y449" s="1975"/>
      <c r="Z449" s="1975"/>
      <c r="AA449" s="1975"/>
      <c r="AB449" s="1975"/>
      <c r="AC449" s="1975"/>
      <c r="AD449" s="1975"/>
      <c r="AE449" s="1975"/>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1975"/>
      <c r="G450" s="1975"/>
      <c r="H450" s="1975"/>
      <c r="I450" s="1975"/>
      <c r="J450" s="1975"/>
      <c r="K450" s="1975"/>
      <c r="L450" s="1975"/>
      <c r="M450" s="1975"/>
      <c r="N450" s="1975"/>
      <c r="O450" s="1975"/>
      <c r="P450" s="1975"/>
      <c r="Q450" s="1975"/>
      <c r="R450" s="1975"/>
      <c r="S450" s="1975"/>
      <c r="T450" s="1975"/>
      <c r="U450" s="1975"/>
      <c r="V450" s="1975"/>
      <c r="W450" s="1975"/>
      <c r="X450" s="1975"/>
      <c r="Y450" s="1975"/>
      <c r="Z450" s="1975"/>
      <c r="AA450" s="1975"/>
      <c r="AB450" s="1975"/>
      <c r="AC450" s="1975"/>
      <c r="AD450" s="1975"/>
      <c r="AE450" s="1975"/>
      <c r="AF450" s="592"/>
      <c r="AG450" s="592"/>
      <c r="AH450" s="592"/>
      <c r="AI450" s="592"/>
      <c r="AJ450" s="592"/>
      <c r="AK450" s="592"/>
      <c r="AL450" s="746"/>
      <c r="AM450" s="568"/>
      <c r="AN450" s="595"/>
    </row>
    <row r="451" spans="1:42" s="549" customFormat="1" ht="12.75" customHeight="1">
      <c r="A451" s="536"/>
      <c r="B451" s="14"/>
      <c r="C451" s="747"/>
      <c r="D451" s="726"/>
      <c r="E451" s="715"/>
      <c r="F451" s="1975"/>
      <c r="G451" s="1975"/>
      <c r="H451" s="1975"/>
      <c r="I451" s="1975"/>
      <c r="J451" s="1975"/>
      <c r="K451" s="1975"/>
      <c r="L451" s="1975"/>
      <c r="M451" s="1975"/>
      <c r="N451" s="1975"/>
      <c r="O451" s="1975"/>
      <c r="P451" s="1975"/>
      <c r="Q451" s="1975"/>
      <c r="R451" s="1975"/>
      <c r="S451" s="1975"/>
      <c r="T451" s="1975"/>
      <c r="U451" s="1975"/>
      <c r="V451" s="1975"/>
      <c r="W451" s="1975"/>
      <c r="X451" s="1975"/>
      <c r="Y451" s="1975"/>
      <c r="Z451" s="1975"/>
      <c r="AA451" s="1975"/>
      <c r="AB451" s="1975"/>
      <c r="AC451" s="1975"/>
      <c r="AD451" s="1975"/>
      <c r="AE451" s="1975"/>
      <c r="AF451" s="592"/>
      <c r="AG451" s="592"/>
      <c r="AH451" s="592"/>
      <c r="AI451" s="592"/>
      <c r="AJ451" s="592"/>
      <c r="AK451" s="592"/>
      <c r="AL451" s="746"/>
      <c r="AM451" s="568"/>
      <c r="AN451" s="595"/>
    </row>
    <row r="452" spans="1:42" s="549" customFormat="1" ht="12.75" customHeight="1">
      <c r="A452" s="536"/>
      <c r="B452" s="14"/>
      <c r="C452" s="747"/>
      <c r="D452" s="726"/>
      <c r="E452" s="715"/>
      <c r="F452" s="1975"/>
      <c r="G452" s="1975"/>
      <c r="H452" s="1975"/>
      <c r="I452" s="1975"/>
      <c r="J452" s="1975"/>
      <c r="K452" s="1975"/>
      <c r="L452" s="1975"/>
      <c r="M452" s="1975"/>
      <c r="N452" s="1975"/>
      <c r="O452" s="1975"/>
      <c r="P452" s="1975"/>
      <c r="Q452" s="1975"/>
      <c r="R452" s="1975"/>
      <c r="S452" s="1975"/>
      <c r="T452" s="1975"/>
      <c r="U452" s="1975"/>
      <c r="V452" s="1975"/>
      <c r="W452" s="1975"/>
      <c r="X452" s="1975"/>
      <c r="Y452" s="1975"/>
      <c r="Z452" s="1975"/>
      <c r="AA452" s="1975"/>
      <c r="AB452" s="1975"/>
      <c r="AC452" s="1975"/>
      <c r="AD452" s="1975"/>
      <c r="AE452" s="1975"/>
      <c r="AF452" s="592"/>
      <c r="AG452" s="592"/>
      <c r="AH452" s="592"/>
      <c r="AI452" s="592"/>
      <c r="AJ452" s="592"/>
      <c r="AK452" s="592"/>
      <c r="AL452" s="746"/>
      <c r="AM452" s="568"/>
      <c r="AN452" s="595"/>
    </row>
    <row r="453" spans="1:42" s="549" customFormat="1" ht="12.75" customHeight="1">
      <c r="A453" s="536"/>
      <c r="B453" s="14"/>
      <c r="C453" s="747"/>
      <c r="D453" s="726"/>
      <c r="E453" s="715"/>
      <c r="F453" s="1975"/>
      <c r="G453" s="1975"/>
      <c r="H453" s="1975"/>
      <c r="I453" s="1975"/>
      <c r="J453" s="1975"/>
      <c r="K453" s="1975"/>
      <c r="L453" s="1975"/>
      <c r="M453" s="1975"/>
      <c r="N453" s="1975"/>
      <c r="O453" s="1975"/>
      <c r="P453" s="1975"/>
      <c r="Q453" s="1975"/>
      <c r="R453" s="1975"/>
      <c r="S453" s="1975"/>
      <c r="T453" s="1975"/>
      <c r="U453" s="1975"/>
      <c r="V453" s="1975"/>
      <c r="W453" s="1975"/>
      <c r="X453" s="1975"/>
      <c r="Y453" s="1975"/>
      <c r="Z453" s="1975"/>
      <c r="AA453" s="1975"/>
      <c r="AB453" s="1975"/>
      <c r="AC453" s="1975"/>
      <c r="AD453" s="1975"/>
      <c r="AE453" s="1975"/>
      <c r="AF453" s="592"/>
      <c r="AG453" s="592"/>
      <c r="AH453" s="592"/>
      <c r="AI453" s="592"/>
      <c r="AJ453" s="592"/>
      <c r="AK453" s="592"/>
      <c r="AL453" s="746"/>
      <c r="AM453" s="568"/>
      <c r="AN453" s="595"/>
    </row>
    <row r="454" spans="1:42" s="549" customFormat="1" ht="17.25" customHeight="1">
      <c r="A454" s="536"/>
      <c r="B454" s="14"/>
      <c r="C454" s="747"/>
      <c r="D454" s="726"/>
      <c r="E454" s="715"/>
      <c r="F454" s="1975"/>
      <c r="G454" s="1975"/>
      <c r="H454" s="1975"/>
      <c r="I454" s="1975"/>
      <c r="J454" s="1975"/>
      <c r="K454" s="1975"/>
      <c r="L454" s="1975"/>
      <c r="M454" s="1975"/>
      <c r="N454" s="1975"/>
      <c r="O454" s="1975"/>
      <c r="P454" s="1975"/>
      <c r="Q454" s="1975"/>
      <c r="R454" s="1975"/>
      <c r="S454" s="1975"/>
      <c r="T454" s="1975"/>
      <c r="U454" s="1975"/>
      <c r="V454" s="1975"/>
      <c r="W454" s="1975"/>
      <c r="X454" s="1975"/>
      <c r="Y454" s="1975"/>
      <c r="Z454" s="1975"/>
      <c r="AA454" s="1975"/>
      <c r="AB454" s="1975"/>
      <c r="AC454" s="1975"/>
      <c r="AD454" s="1975"/>
      <c r="AE454" s="1975"/>
      <c r="AL454" s="728"/>
      <c r="AM454" s="568"/>
      <c r="AN454" s="595"/>
    </row>
    <row r="455" spans="1:42" s="549" customFormat="1" ht="12.75" customHeight="1">
      <c r="A455" s="536"/>
      <c r="B455" s="14"/>
      <c r="C455" s="1997" t="s">
        <v>935</v>
      </c>
      <c r="D455" s="1294"/>
      <c r="E455" s="715"/>
      <c r="F455" s="594" t="s">
        <v>2440</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037" t="s">
        <v>2416</v>
      </c>
      <c r="AG455" s="1975"/>
      <c r="AH455" s="1975"/>
      <c r="AI455" s="1975"/>
      <c r="AJ455" s="1975"/>
      <c r="AK455" s="1975"/>
      <c r="AL455" s="1988"/>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2441</v>
      </c>
      <c r="F458" s="1973" t="s">
        <v>2442</v>
      </c>
      <c r="G458" s="1974"/>
      <c r="H458" s="1974"/>
      <c r="I458" s="1974"/>
      <c r="J458" s="1974"/>
      <c r="K458" s="1974"/>
      <c r="L458" s="1974"/>
      <c r="M458" s="1974"/>
      <c r="N458" s="1974"/>
      <c r="O458" s="1974"/>
      <c r="P458" s="1974"/>
      <c r="Q458" s="1974"/>
      <c r="R458" s="1974"/>
      <c r="S458" s="1974"/>
      <c r="T458" s="1974"/>
      <c r="U458" s="1974"/>
      <c r="V458" s="1974"/>
      <c r="W458" s="1974"/>
      <c r="X458" s="1974"/>
      <c r="Y458" s="1974"/>
      <c r="Z458" s="1974"/>
      <c r="AA458" s="1974"/>
      <c r="AB458" s="1974"/>
      <c r="AC458" s="1974"/>
      <c r="AD458" s="1974"/>
      <c r="AE458" s="1974"/>
      <c r="AF458" s="710"/>
      <c r="AG458" s="710"/>
      <c r="AH458" s="710"/>
      <c r="AI458" s="710"/>
      <c r="AJ458" s="710"/>
      <c r="AK458" s="710"/>
      <c r="AL458" s="741"/>
      <c r="AM458" s="568"/>
      <c r="AN458" s="595"/>
    </row>
    <row r="459" spans="1:42" s="549" customFormat="1" ht="12.75" customHeight="1">
      <c r="A459" s="536"/>
      <c r="B459" s="14"/>
      <c r="C459" s="747"/>
      <c r="D459" s="726"/>
      <c r="E459" s="715"/>
      <c r="F459" s="1975"/>
      <c r="G459" s="1975"/>
      <c r="H459" s="1975"/>
      <c r="I459" s="1975"/>
      <c r="J459" s="1975"/>
      <c r="K459" s="1975"/>
      <c r="L459" s="1975"/>
      <c r="M459" s="1975"/>
      <c r="N459" s="1975"/>
      <c r="O459" s="1975"/>
      <c r="P459" s="1975"/>
      <c r="Q459" s="1975"/>
      <c r="R459" s="1975"/>
      <c r="S459" s="1975"/>
      <c r="T459" s="1975"/>
      <c r="U459" s="1975"/>
      <c r="V459" s="1975"/>
      <c r="W459" s="1975"/>
      <c r="X459" s="1975"/>
      <c r="Y459" s="1975"/>
      <c r="Z459" s="1975"/>
      <c r="AA459" s="1975"/>
      <c r="AB459" s="1975"/>
      <c r="AC459" s="1975"/>
      <c r="AD459" s="1975"/>
      <c r="AE459" s="1975"/>
      <c r="AF459" s="589"/>
      <c r="AG459" s="589"/>
      <c r="AH459" s="589"/>
      <c r="AI459" s="589"/>
      <c r="AJ459" s="589"/>
      <c r="AK459" s="589"/>
      <c r="AL459" s="716"/>
      <c r="AM459" s="568"/>
      <c r="AN459" s="595"/>
    </row>
    <row r="460" spans="1:42" s="549" customFormat="1" ht="12.75" customHeight="1">
      <c r="A460" s="536"/>
      <c r="B460" s="14"/>
      <c r="C460" s="747"/>
      <c r="D460" s="726"/>
      <c r="E460" s="715"/>
      <c r="F460" s="1975"/>
      <c r="G460" s="1975"/>
      <c r="H460" s="1975"/>
      <c r="I460" s="1975"/>
      <c r="J460" s="1975"/>
      <c r="K460" s="1975"/>
      <c r="L460" s="1975"/>
      <c r="M460" s="1975"/>
      <c r="N460" s="1975"/>
      <c r="O460" s="1975"/>
      <c r="P460" s="1975"/>
      <c r="Q460" s="1975"/>
      <c r="R460" s="1975"/>
      <c r="S460" s="1975"/>
      <c r="T460" s="1975"/>
      <c r="U460" s="1975"/>
      <c r="V460" s="1975"/>
      <c r="W460" s="1975"/>
      <c r="X460" s="1975"/>
      <c r="Y460" s="1975"/>
      <c r="Z460" s="1975"/>
      <c r="AA460" s="1975"/>
      <c r="AB460" s="1975"/>
      <c r="AC460" s="1975"/>
      <c r="AD460" s="1975"/>
      <c r="AE460" s="1975"/>
      <c r="AF460" s="589"/>
      <c r="AG460" s="589"/>
      <c r="AH460" s="589"/>
      <c r="AI460" s="589"/>
      <c r="AJ460" s="589"/>
      <c r="AK460" s="589"/>
      <c r="AL460" s="716"/>
      <c r="AM460" s="568"/>
      <c r="AN460" s="595"/>
    </row>
    <row r="461" spans="1:42" s="549" customFormat="1" ht="12.75" customHeight="1">
      <c r="A461" s="536"/>
      <c r="B461" s="14"/>
      <c r="C461" s="747"/>
      <c r="D461" s="726"/>
      <c r="E461" s="715"/>
      <c r="F461" s="1975"/>
      <c r="G461" s="1975"/>
      <c r="H461" s="1975"/>
      <c r="I461" s="1975"/>
      <c r="J461" s="1975"/>
      <c r="K461" s="1975"/>
      <c r="L461" s="1975"/>
      <c r="M461" s="1975"/>
      <c r="N461" s="1975"/>
      <c r="O461" s="1975"/>
      <c r="P461" s="1975"/>
      <c r="Q461" s="1975"/>
      <c r="R461" s="1975"/>
      <c r="S461" s="1975"/>
      <c r="T461" s="1975"/>
      <c r="U461" s="1975"/>
      <c r="V461" s="1975"/>
      <c r="W461" s="1975"/>
      <c r="X461" s="1975"/>
      <c r="Y461" s="1975"/>
      <c r="Z461" s="1975"/>
      <c r="AA461" s="1975"/>
      <c r="AB461" s="1975"/>
      <c r="AC461" s="1975"/>
      <c r="AD461" s="1975"/>
      <c r="AE461" s="1975"/>
      <c r="AL461" s="728"/>
      <c r="AM461" s="568"/>
      <c r="AN461" s="595"/>
    </row>
    <row r="462" spans="1:42" s="549" customFormat="1" ht="12.75" customHeight="1">
      <c r="A462" s="536"/>
      <c r="B462" s="14"/>
      <c r="C462" s="1997" t="s">
        <v>935</v>
      </c>
      <c r="D462" s="1294"/>
      <c r="E462" s="715"/>
      <c r="F462" s="717" t="s">
        <v>2443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037" t="s">
        <v>2416</v>
      </c>
      <c r="AG462" s="1975"/>
      <c r="AH462" s="1975"/>
      <c r="AI462" s="1975"/>
      <c r="AJ462" s="1975"/>
      <c r="AK462" s="1975"/>
      <c r="AL462" s="1988"/>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2423</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070" t="s">
        <v>935</v>
      </c>
      <c r="D466" s="2071"/>
      <c r="E466" s="711" t="s">
        <v>2444</v>
      </c>
      <c r="F466" s="2046" t="s">
        <v>2445</v>
      </c>
      <c r="G466" s="1974"/>
      <c r="H466" s="1974"/>
      <c r="I466" s="1974"/>
      <c r="J466" s="1974"/>
      <c r="K466" s="1974"/>
      <c r="L466" s="1974"/>
      <c r="M466" s="1974"/>
      <c r="N466" s="1974"/>
      <c r="O466" s="1974"/>
      <c r="P466" s="1974"/>
      <c r="Q466" s="1974"/>
      <c r="R466" s="1974"/>
      <c r="S466" s="1974"/>
      <c r="T466" s="1974"/>
      <c r="U466" s="1974"/>
      <c r="V466" s="1974"/>
      <c r="W466" s="1974"/>
      <c r="X466" s="1974"/>
      <c r="Y466" s="1974"/>
      <c r="Z466" s="1974"/>
      <c r="AA466" s="1974"/>
      <c r="AB466" s="1974"/>
      <c r="AC466" s="1974"/>
      <c r="AD466" s="1974"/>
      <c r="AE466" s="1974"/>
      <c r="AF466" s="2038" t="s">
        <v>2416</v>
      </c>
      <c r="AG466" s="1974"/>
      <c r="AH466" s="1974"/>
      <c r="AI466" s="1974"/>
      <c r="AJ466" s="1974"/>
      <c r="AK466" s="1974"/>
      <c r="AL466" s="1980"/>
      <c r="AM466" s="568"/>
      <c r="AN466" s="749"/>
    </row>
    <row r="467" spans="1:40" s="549" customFormat="1" ht="12.75" customHeight="1">
      <c r="A467" s="536"/>
      <c r="B467" s="14"/>
      <c r="C467" s="747"/>
      <c r="D467" s="726"/>
      <c r="E467" s="715"/>
      <c r="F467" s="1975"/>
      <c r="G467" s="1975"/>
      <c r="H467" s="1975"/>
      <c r="I467" s="1975"/>
      <c r="J467" s="1975"/>
      <c r="K467" s="1975"/>
      <c r="L467" s="1975"/>
      <c r="M467" s="1975"/>
      <c r="N467" s="1975"/>
      <c r="O467" s="1975"/>
      <c r="P467" s="1975"/>
      <c r="Q467" s="1975"/>
      <c r="R467" s="1975"/>
      <c r="S467" s="1975"/>
      <c r="T467" s="1975"/>
      <c r="U467" s="1975"/>
      <c r="V467" s="1975"/>
      <c r="W467" s="1975"/>
      <c r="X467" s="1975"/>
      <c r="Y467" s="1975"/>
      <c r="Z467" s="1975"/>
      <c r="AA467" s="1975"/>
      <c r="AB467" s="1975"/>
      <c r="AC467" s="1975"/>
      <c r="AD467" s="1975"/>
      <c r="AE467" s="1975"/>
      <c r="AF467" s="589"/>
      <c r="AG467" s="589"/>
      <c r="AH467" s="589"/>
      <c r="AI467" s="589"/>
      <c r="AJ467" s="589"/>
      <c r="AK467" s="589"/>
      <c r="AL467" s="716"/>
      <c r="AM467" s="568"/>
      <c r="AN467" s="750"/>
    </row>
    <row r="468" spans="1:40" s="549" customFormat="1" ht="17.7" customHeight="1">
      <c r="A468" s="536"/>
      <c r="B468" s="14"/>
      <c r="C468" s="752"/>
      <c r="D468" s="719"/>
      <c r="E468" s="720"/>
      <c r="F468" s="1982"/>
      <c r="G468" s="1982"/>
      <c r="H468" s="1982"/>
      <c r="I468" s="1982"/>
      <c r="J468" s="1982"/>
      <c r="K468" s="1982"/>
      <c r="L468" s="1982"/>
      <c r="M468" s="1982"/>
      <c r="N468" s="1982"/>
      <c r="O468" s="1982"/>
      <c r="P468" s="1982"/>
      <c r="Q468" s="1982"/>
      <c r="R468" s="1982"/>
      <c r="S468" s="1982"/>
      <c r="T468" s="1982"/>
      <c r="U468" s="1982"/>
      <c r="V468" s="1982"/>
      <c r="W468" s="1982"/>
      <c r="X468" s="1982"/>
      <c r="Y468" s="1982"/>
      <c r="Z468" s="1982"/>
      <c r="AA468" s="1982"/>
      <c r="AB468" s="1982"/>
      <c r="AC468" s="1982"/>
      <c r="AD468" s="1982"/>
      <c r="AE468" s="1982"/>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1997" t="s">
        <v>935</v>
      </c>
      <c r="D470" s="1294"/>
      <c r="E470" s="711" t="s">
        <v>2446</v>
      </c>
      <c r="F470" s="2046" t="s">
        <v>2429</v>
      </c>
      <c r="G470" s="1974"/>
      <c r="H470" s="1974"/>
      <c r="I470" s="1974"/>
      <c r="J470" s="1974"/>
      <c r="K470" s="1974"/>
      <c r="L470" s="1974"/>
      <c r="M470" s="1974"/>
      <c r="N470" s="1974"/>
      <c r="O470" s="1974"/>
      <c r="P470" s="1974"/>
      <c r="Q470" s="1974"/>
      <c r="R470" s="1974"/>
      <c r="S470" s="1974"/>
      <c r="T470" s="1974"/>
      <c r="U470" s="1974"/>
      <c r="V470" s="1974"/>
      <c r="W470" s="1974"/>
      <c r="X470" s="1974"/>
      <c r="Y470" s="1974"/>
      <c r="Z470" s="1974"/>
      <c r="AA470" s="1974"/>
      <c r="AB470" s="1974"/>
      <c r="AC470" s="1974"/>
      <c r="AD470" s="1974"/>
      <c r="AE470" s="1974"/>
      <c r="AF470" s="2038" t="s">
        <v>2416</v>
      </c>
      <c r="AG470" s="1974"/>
      <c r="AH470" s="1974"/>
      <c r="AI470" s="1974"/>
      <c r="AJ470" s="1974"/>
      <c r="AK470" s="1974"/>
      <c r="AL470" s="1980"/>
      <c r="AM470" s="568"/>
      <c r="AN470" s="535"/>
    </row>
    <row r="471" spans="1:40" s="549" customFormat="1" ht="12.75" customHeight="1">
      <c r="A471" s="536"/>
      <c r="B471" s="14"/>
      <c r="C471" s="727"/>
      <c r="D471" s="14"/>
      <c r="E471" s="687"/>
      <c r="F471" s="1975"/>
      <c r="G471" s="1975"/>
      <c r="H471" s="1975"/>
      <c r="I471" s="1975"/>
      <c r="J471" s="1975"/>
      <c r="K471" s="1975"/>
      <c r="L471" s="1975"/>
      <c r="M471" s="1975"/>
      <c r="N471" s="1975"/>
      <c r="O471" s="1975"/>
      <c r="P471" s="1975"/>
      <c r="Q471" s="1975"/>
      <c r="R471" s="1975"/>
      <c r="S471" s="1975"/>
      <c r="T471" s="1975"/>
      <c r="U471" s="1975"/>
      <c r="V471" s="1975"/>
      <c r="W471" s="1975"/>
      <c r="X471" s="1975"/>
      <c r="Y471" s="1975"/>
      <c r="Z471" s="1975"/>
      <c r="AA471" s="1975"/>
      <c r="AB471" s="1975"/>
      <c r="AC471" s="1975"/>
      <c r="AD471" s="1975"/>
      <c r="AE471" s="1975"/>
      <c r="AF471" s="539"/>
      <c r="AG471" s="536"/>
      <c r="AL471" s="728"/>
      <c r="AM471" s="568"/>
      <c r="AN471" s="535"/>
    </row>
    <row r="472" spans="1:40" s="549" customFormat="1" ht="12.75" customHeight="1">
      <c r="A472" s="536"/>
      <c r="B472" s="14"/>
      <c r="C472" s="727"/>
      <c r="D472" s="14"/>
      <c r="E472" s="687"/>
      <c r="F472" s="1975"/>
      <c r="G472" s="1975"/>
      <c r="H472" s="1975"/>
      <c r="I472" s="1975"/>
      <c r="J472" s="1975"/>
      <c r="K472" s="1975"/>
      <c r="L472" s="1975"/>
      <c r="M472" s="1975"/>
      <c r="N472" s="1975"/>
      <c r="O472" s="1975"/>
      <c r="P472" s="1975"/>
      <c r="Q472" s="1975"/>
      <c r="R472" s="1975"/>
      <c r="S472" s="1975"/>
      <c r="T472" s="1975"/>
      <c r="U472" s="1975"/>
      <c r="V472" s="1975"/>
      <c r="W472" s="1975"/>
      <c r="X472" s="1975"/>
      <c r="Y472" s="1975"/>
      <c r="Z472" s="1975"/>
      <c r="AA472" s="1975"/>
      <c r="AB472" s="1975"/>
      <c r="AC472" s="1975"/>
      <c r="AD472" s="1975"/>
      <c r="AE472" s="1975"/>
      <c r="AF472" s="539"/>
      <c r="AG472" s="536"/>
      <c r="AL472" s="728"/>
      <c r="AM472" s="568"/>
      <c r="AN472" s="535"/>
    </row>
    <row r="473" spans="1:40" s="549" customFormat="1" ht="12.75" customHeight="1">
      <c r="A473" s="536"/>
      <c r="B473" s="14"/>
      <c r="C473" s="752"/>
      <c r="D473" s="719"/>
      <c r="E473" s="720"/>
      <c r="F473" s="1982"/>
      <c r="G473" s="1982"/>
      <c r="H473" s="1982"/>
      <c r="I473" s="1982"/>
      <c r="J473" s="1982"/>
      <c r="K473" s="1982"/>
      <c r="L473" s="1982"/>
      <c r="M473" s="1982"/>
      <c r="N473" s="1982"/>
      <c r="O473" s="1982"/>
      <c r="P473" s="1982"/>
      <c r="Q473" s="1982"/>
      <c r="R473" s="1982"/>
      <c r="S473" s="1982"/>
      <c r="T473" s="1982"/>
      <c r="U473" s="1982"/>
      <c r="V473" s="1982"/>
      <c r="W473" s="1982"/>
      <c r="X473" s="1982"/>
      <c r="Y473" s="1982"/>
      <c r="Z473" s="1982"/>
      <c r="AA473" s="1982"/>
      <c r="AB473" s="1982"/>
      <c r="AC473" s="1982"/>
      <c r="AD473" s="1982"/>
      <c r="AE473" s="1982"/>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2447</v>
      </c>
      <c r="F475" s="1973" t="s">
        <v>2431</v>
      </c>
      <c r="G475" s="1974"/>
      <c r="H475" s="1974"/>
      <c r="I475" s="1974"/>
      <c r="J475" s="1974"/>
      <c r="K475" s="1974"/>
      <c r="L475" s="1974"/>
      <c r="M475" s="1974"/>
      <c r="N475" s="1974"/>
      <c r="O475" s="1974"/>
      <c r="P475" s="1974"/>
      <c r="Q475" s="1974"/>
      <c r="R475" s="1974"/>
      <c r="S475" s="1974"/>
      <c r="T475" s="1974"/>
      <c r="U475" s="1974"/>
      <c r="V475" s="1974"/>
      <c r="W475" s="1974"/>
      <c r="X475" s="1974"/>
      <c r="Y475" s="1974"/>
      <c r="Z475" s="1974"/>
      <c r="AA475" s="1974"/>
      <c r="AB475" s="1974"/>
      <c r="AC475" s="1974"/>
      <c r="AD475" s="1974"/>
      <c r="AE475" s="1974"/>
      <c r="AF475" s="1974"/>
      <c r="AG475" s="740"/>
      <c r="AH475" s="710"/>
      <c r="AI475" s="710"/>
      <c r="AJ475" s="710"/>
      <c r="AK475" s="710"/>
      <c r="AL475" s="741"/>
      <c r="AM475" s="568"/>
      <c r="AN475" s="595"/>
    </row>
    <row r="476" spans="1:40" s="549" customFormat="1" ht="12.75" customHeight="1">
      <c r="A476" s="536"/>
      <c r="B476" s="14"/>
      <c r="C476" s="727"/>
      <c r="D476" s="14"/>
      <c r="E476" s="687"/>
      <c r="F476" s="1975"/>
      <c r="G476" s="1975"/>
      <c r="H476" s="1975"/>
      <c r="I476" s="1975"/>
      <c r="J476" s="1975"/>
      <c r="K476" s="1975"/>
      <c r="L476" s="1975"/>
      <c r="M476" s="1975"/>
      <c r="N476" s="1975"/>
      <c r="O476" s="1975"/>
      <c r="P476" s="1975"/>
      <c r="Q476" s="1975"/>
      <c r="R476" s="1975"/>
      <c r="S476" s="1975"/>
      <c r="T476" s="1975"/>
      <c r="U476" s="1975"/>
      <c r="V476" s="1975"/>
      <c r="W476" s="1975"/>
      <c r="X476" s="1975"/>
      <c r="Y476" s="1975"/>
      <c r="Z476" s="1975"/>
      <c r="AA476" s="1975"/>
      <c r="AB476" s="1975"/>
      <c r="AC476" s="1975"/>
      <c r="AD476" s="1975"/>
      <c r="AE476" s="1975"/>
      <c r="AF476" s="1975"/>
      <c r="AL476" s="728"/>
      <c r="AM476" s="568"/>
      <c r="AN476" s="595"/>
    </row>
    <row r="477" spans="1:40" s="549" customFormat="1" ht="12.75" customHeight="1">
      <c r="A477" s="536"/>
      <c r="B477" s="14"/>
      <c r="C477" s="735"/>
      <c r="F477" s="1975"/>
      <c r="G477" s="1975"/>
      <c r="H477" s="1975"/>
      <c r="I477" s="1975"/>
      <c r="J477" s="1975"/>
      <c r="K477" s="1975"/>
      <c r="L477" s="1975"/>
      <c r="M477" s="1975"/>
      <c r="N477" s="1975"/>
      <c r="O477" s="1975"/>
      <c r="P477" s="1975"/>
      <c r="Q477" s="1975"/>
      <c r="R477" s="1975"/>
      <c r="S477" s="1975"/>
      <c r="T477" s="1975"/>
      <c r="U477" s="1975"/>
      <c r="V477" s="1975"/>
      <c r="W477" s="1975"/>
      <c r="X477" s="1975"/>
      <c r="Y477" s="1975"/>
      <c r="Z477" s="1975"/>
      <c r="AA477" s="1975"/>
      <c r="AB477" s="1975"/>
      <c r="AC477" s="1975"/>
      <c r="AD477" s="1975"/>
      <c r="AE477" s="1975"/>
      <c r="AF477" s="1975"/>
      <c r="AL477" s="728"/>
      <c r="AM477" s="568"/>
      <c r="AN477" s="595"/>
    </row>
    <row r="478" spans="1:40" s="549" customFormat="1" ht="12.75" customHeight="1">
      <c r="A478" s="536"/>
      <c r="B478" s="14"/>
      <c r="C478" s="735"/>
      <c r="F478" s="1975"/>
      <c r="G478" s="1975"/>
      <c r="H478" s="1975"/>
      <c r="I478" s="1975"/>
      <c r="J478" s="1975"/>
      <c r="K478" s="1975"/>
      <c r="L478" s="1975"/>
      <c r="M478" s="1975"/>
      <c r="N478" s="1975"/>
      <c r="O478" s="1975"/>
      <c r="P478" s="1975"/>
      <c r="Q478" s="1975"/>
      <c r="R478" s="1975"/>
      <c r="S478" s="1975"/>
      <c r="T478" s="1975"/>
      <c r="U478" s="1975"/>
      <c r="V478" s="1975"/>
      <c r="W478" s="1975"/>
      <c r="X478" s="1975"/>
      <c r="Y478" s="1975"/>
      <c r="Z478" s="1975"/>
      <c r="AA478" s="1975"/>
      <c r="AB478" s="1975"/>
      <c r="AC478" s="1975"/>
      <c r="AD478" s="1975"/>
      <c r="AE478" s="1975"/>
      <c r="AF478" s="1975"/>
      <c r="AL478" s="728"/>
      <c r="AM478" s="568"/>
      <c r="AN478" s="595"/>
    </row>
    <row r="479" spans="1:40" s="549" customFormat="1" ht="12.75" customHeight="1">
      <c r="A479" s="536"/>
      <c r="B479" s="14"/>
      <c r="C479" s="1997" t="s">
        <v>935</v>
      </c>
      <c r="D479" s="1294"/>
      <c r="E479" s="715"/>
      <c r="F479" s="717" t="s">
        <v>2432</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034" t="s">
        <v>2416</v>
      </c>
      <c r="AG479" s="1975"/>
      <c r="AH479" s="1975"/>
      <c r="AI479" s="1975"/>
      <c r="AJ479" s="1975"/>
      <c r="AK479" s="1975"/>
      <c r="AL479" s="1988"/>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2448</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2449</v>
      </c>
      <c r="AK482" s="1999">
        <f>IF(Application!D214="N/A",AS371,AS373)</f>
        <v>10</v>
      </c>
      <c r="AL482" s="1263"/>
      <c r="AM482" s="1264"/>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935</v>
      </c>
      <c r="AP484" s="549">
        <v>0</v>
      </c>
      <c r="AT484" s="549" t="s">
        <v>935</v>
      </c>
      <c r="AU484" s="549">
        <v>0</v>
      </c>
      <c r="AV484" s="748"/>
    </row>
    <row r="485" spans="1:59" s="549" customFormat="1" ht="12.75" hidden="1" customHeight="1">
      <c r="A485" s="539" t="s">
        <v>2450</v>
      </c>
      <c r="C485" s="539"/>
      <c r="E485" s="594"/>
      <c r="AE485" s="2018" t="s">
        <v>2451</v>
      </c>
      <c r="AF485" s="1975"/>
      <c r="AG485" s="1975"/>
      <c r="AH485" s="1975"/>
      <c r="AI485" s="1975"/>
      <c r="AJ485" s="1975"/>
      <c r="AK485" s="1975"/>
      <c r="AL485" s="589"/>
      <c r="AN485" s="595"/>
      <c r="AO485" s="549" t="s">
        <v>2452</v>
      </c>
      <c r="AP485" s="549">
        <v>5</v>
      </c>
      <c r="AT485" s="549" t="s">
        <v>2452</v>
      </c>
      <c r="AU485" s="549">
        <v>5</v>
      </c>
      <c r="AV485" s="748"/>
    </row>
    <row r="486" spans="1:59" s="549" customFormat="1" ht="12.75" hidden="1" customHeight="1">
      <c r="A486" s="539"/>
      <c r="B486" s="536" t="s">
        <v>2453</v>
      </c>
      <c r="C486" s="539"/>
      <c r="E486" s="594"/>
      <c r="AE486" s="589"/>
      <c r="AF486" s="589"/>
      <c r="AG486" s="589"/>
      <c r="AH486" s="589"/>
      <c r="AI486" s="589"/>
      <c r="AJ486" s="589"/>
      <c r="AK486" s="589"/>
      <c r="AL486" s="589"/>
      <c r="AN486" s="595"/>
      <c r="AO486" s="549" t="s">
        <v>2454</v>
      </c>
      <c r="AP486" s="549">
        <v>5</v>
      </c>
      <c r="AT486" s="549" t="s">
        <v>2455</v>
      </c>
      <c r="AU486" s="549">
        <v>5</v>
      </c>
      <c r="AV486" s="748"/>
    </row>
    <row r="487" spans="1:59" s="549" customFormat="1" ht="12.75" hidden="1" customHeight="1">
      <c r="A487" s="539"/>
      <c r="B487" s="539" t="s">
        <v>2456</v>
      </c>
      <c r="C487" s="539"/>
      <c r="E487" s="594"/>
      <c r="AE487" s="589"/>
      <c r="AF487" s="589"/>
      <c r="AG487" s="589"/>
      <c r="AH487" s="589"/>
      <c r="AI487" s="589"/>
      <c r="AJ487" s="589"/>
      <c r="AK487" s="589"/>
      <c r="AL487" s="589"/>
      <c r="AN487" s="595"/>
      <c r="AO487" s="549" t="s">
        <v>2457</v>
      </c>
      <c r="AP487" s="549">
        <v>5</v>
      </c>
      <c r="AQ487" s="539"/>
      <c r="AR487" s="539"/>
      <c r="AS487" s="751"/>
      <c r="AT487" s="549" t="s">
        <v>2457</v>
      </c>
      <c r="AU487" s="549">
        <v>5</v>
      </c>
      <c r="AV487" s="536"/>
    </row>
    <row r="488" spans="1:59" s="549" customFormat="1" ht="12.75" hidden="1" customHeight="1">
      <c r="A488" s="539"/>
      <c r="B488" s="539" t="s">
        <v>2458</v>
      </c>
      <c r="C488" s="539"/>
      <c r="E488" s="594"/>
      <c r="AE488" s="589"/>
      <c r="AF488" s="589"/>
      <c r="AG488" s="589"/>
      <c r="AH488" s="589"/>
      <c r="AI488" s="589"/>
      <c r="AJ488" s="589"/>
      <c r="AK488" s="589"/>
      <c r="AL488" s="589"/>
      <c r="AN488" s="595"/>
      <c r="AO488" s="549" t="s">
        <v>2459</v>
      </c>
      <c r="AP488" s="549">
        <v>5</v>
      </c>
      <c r="AQ488" s="539"/>
      <c r="AR488" s="539"/>
      <c r="AT488" s="549" t="s">
        <v>2459</v>
      </c>
      <c r="AU488" s="549">
        <v>5</v>
      </c>
    </row>
    <row r="489" spans="1:59" s="549" customFormat="1" ht="12.75" hidden="1" customHeight="1">
      <c r="A489" s="539"/>
      <c r="C489" s="539"/>
      <c r="E489" s="594"/>
      <c r="AE489" s="589"/>
      <c r="AF489" s="589"/>
      <c r="AG489" s="589"/>
      <c r="AH489" s="589"/>
      <c r="AI489" s="589"/>
      <c r="AJ489" s="589"/>
      <c r="AK489" s="589"/>
      <c r="AL489" s="589"/>
      <c r="AN489" s="595"/>
      <c r="AO489" s="549" t="s">
        <v>2460</v>
      </c>
      <c r="AP489" s="549">
        <v>5</v>
      </c>
      <c r="AQ489" s="539"/>
      <c r="AR489" s="539"/>
      <c r="AT489" s="549" t="s">
        <v>2460</v>
      </c>
      <c r="AU489" s="549">
        <v>5</v>
      </c>
    </row>
    <row r="490" spans="1:59" s="549" customFormat="1" ht="12.75" hidden="1" customHeight="1">
      <c r="A490" s="539"/>
      <c r="C490" s="708" t="s">
        <v>2461</v>
      </c>
      <c r="D490" s="568"/>
      <c r="AE490" s="589"/>
      <c r="AF490" s="589"/>
      <c r="AG490" s="594"/>
      <c r="AH490" s="594"/>
      <c r="AI490" s="594"/>
      <c r="AJ490" s="594"/>
      <c r="AK490" s="594"/>
      <c r="AL490" s="594"/>
      <c r="AN490" s="595"/>
      <c r="AO490" s="549" t="s">
        <v>2462</v>
      </c>
      <c r="AP490" s="549">
        <v>5</v>
      </c>
      <c r="AT490" s="549" t="s">
        <v>2462</v>
      </c>
      <c r="AU490" s="549">
        <v>5</v>
      </c>
    </row>
    <row r="491" spans="1:59" s="549" customFormat="1" ht="12.75" hidden="1" customHeight="1">
      <c r="A491" s="539"/>
      <c r="C491" s="2032" t="s">
        <v>935</v>
      </c>
      <c r="D491" s="1974"/>
      <c r="E491" s="757" t="s">
        <v>163</v>
      </c>
      <c r="F491" s="2035" t="s">
        <v>2463</v>
      </c>
      <c r="G491" s="1974"/>
      <c r="H491" s="1974"/>
      <c r="I491" s="1974"/>
      <c r="J491" s="1974"/>
      <c r="K491" s="1974"/>
      <c r="L491" s="1974"/>
      <c r="M491" s="1974"/>
      <c r="N491" s="1974"/>
      <c r="O491" s="1974"/>
      <c r="P491" s="1974"/>
      <c r="Q491" s="1974"/>
      <c r="R491" s="1974"/>
      <c r="S491" s="1974"/>
      <c r="T491" s="1974"/>
      <c r="U491" s="1974"/>
      <c r="V491" s="1974"/>
      <c r="W491" s="1974"/>
      <c r="X491" s="1974"/>
      <c r="Y491" s="1974"/>
      <c r="Z491" s="1974"/>
      <c r="AA491" s="1974"/>
      <c r="AB491" s="1974"/>
      <c r="AC491" s="1974"/>
      <c r="AD491" s="1974"/>
      <c r="AE491" s="1974"/>
      <c r="AF491" s="710"/>
      <c r="AG491" s="710"/>
      <c r="AH491" s="710"/>
      <c r="AI491" s="710"/>
      <c r="AJ491" s="710"/>
      <c r="AK491" s="741"/>
      <c r="AN491" s="595"/>
      <c r="AO491" s="549" t="s">
        <v>2464</v>
      </c>
      <c r="AP491" s="549">
        <v>5</v>
      </c>
      <c r="AS491" s="754"/>
      <c r="AT491" s="549" t="s">
        <v>2465</v>
      </c>
      <c r="AU491" s="549">
        <v>5</v>
      </c>
    </row>
    <row r="492" spans="1:59" s="549" customFormat="1" ht="12.75" hidden="1" customHeight="1">
      <c r="C492" s="758"/>
      <c r="E492" s="759"/>
      <c r="F492" s="1975"/>
      <c r="G492" s="1975"/>
      <c r="H492" s="1975"/>
      <c r="I492" s="1975"/>
      <c r="J492" s="1975"/>
      <c r="K492" s="1975"/>
      <c r="L492" s="1975"/>
      <c r="M492" s="1975"/>
      <c r="N492" s="1975"/>
      <c r="O492" s="1975"/>
      <c r="P492" s="1975"/>
      <c r="Q492" s="1975"/>
      <c r="R492" s="1975"/>
      <c r="S492" s="1975"/>
      <c r="T492" s="1975"/>
      <c r="U492" s="1975"/>
      <c r="V492" s="1975"/>
      <c r="W492" s="1975"/>
      <c r="X492" s="1975"/>
      <c r="Y492" s="1975"/>
      <c r="Z492" s="1975"/>
      <c r="AA492" s="1975"/>
      <c r="AB492" s="1975"/>
      <c r="AC492" s="1975"/>
      <c r="AD492" s="1975"/>
      <c r="AE492" s="1975"/>
      <c r="AG492" s="550"/>
      <c r="AH492" s="550"/>
      <c r="AI492" s="550"/>
      <c r="AJ492" s="550"/>
      <c r="AK492" s="728"/>
      <c r="AN492" s="595"/>
      <c r="AO492" s="549" t="s">
        <v>2466</v>
      </c>
      <c r="AP492" s="549">
        <v>1</v>
      </c>
      <c r="AT492" s="549" t="s">
        <v>2466</v>
      </c>
      <c r="AU492" s="549">
        <v>1</v>
      </c>
    </row>
    <row r="493" spans="1:59" s="549" customFormat="1" ht="12.75" hidden="1" customHeight="1">
      <c r="C493" s="760"/>
      <c r="D493" s="723"/>
      <c r="E493" s="761"/>
      <c r="F493" s="2014" t="s">
        <v>935</v>
      </c>
      <c r="G493" s="1405"/>
      <c r="H493" s="1405"/>
      <c r="I493" s="1405"/>
      <c r="J493" s="1405"/>
      <c r="K493" s="1405"/>
      <c r="L493" s="1405"/>
      <c r="M493" s="1405"/>
      <c r="N493" s="1405"/>
      <c r="O493" s="1405"/>
      <c r="P493" s="1405"/>
      <c r="Q493" s="1405"/>
      <c r="R493" s="1405"/>
      <c r="S493" s="1405"/>
      <c r="T493" s="1405"/>
      <c r="U493" s="1405"/>
      <c r="V493" s="1405"/>
      <c r="W493" s="1405"/>
      <c r="X493" s="1405"/>
      <c r="Y493" s="1405"/>
      <c r="Z493" s="1405"/>
      <c r="AA493" s="762"/>
      <c r="AB493" s="654"/>
      <c r="AC493" s="654"/>
      <c r="AD493" s="723"/>
      <c r="AE493" s="723"/>
      <c r="AF493" s="723"/>
      <c r="AG493" s="763">
        <f>IF($C$491="Yes",(VLOOKUP($F$493,$AT$484:$AU$492,2,FALSE)),0)</f>
        <v>0</v>
      </c>
      <c r="AH493" s="764" t="s">
        <v>2248</v>
      </c>
      <c r="AI493" s="763"/>
      <c r="AJ493" s="763"/>
      <c r="AK493" s="738"/>
      <c r="AN493" s="595"/>
      <c r="AS493" s="751"/>
      <c r="AX493" s="751"/>
      <c r="BB493" s="751" t="s">
        <v>2467</v>
      </c>
      <c r="BF493" s="751" t="s">
        <v>2468</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935</v>
      </c>
      <c r="AP494" s="635">
        <v>0</v>
      </c>
      <c r="AT494" s="549" t="s">
        <v>935</v>
      </c>
      <c r="AU494" s="635">
        <v>0</v>
      </c>
      <c r="AW494" s="549" t="s">
        <v>935</v>
      </c>
      <c r="AX494" s="635">
        <v>0</v>
      </c>
      <c r="AY494" s="591"/>
      <c r="BB494" s="549" t="s">
        <v>935</v>
      </c>
      <c r="BC494" s="591">
        <v>0</v>
      </c>
      <c r="BF494" s="549" t="s">
        <v>935</v>
      </c>
      <c r="BG494" s="591">
        <v>0</v>
      </c>
    </row>
    <row r="495" spans="1:59" s="549" customFormat="1" ht="12.75" hidden="1" customHeight="1">
      <c r="C495" s="2044" t="s">
        <v>969</v>
      </c>
      <c r="D495" s="2045"/>
      <c r="E495" s="757" t="s">
        <v>165</v>
      </c>
      <c r="F495" s="765" t="s">
        <v>2469</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2470</v>
      </c>
      <c r="AX495" s="635">
        <v>3</v>
      </c>
      <c r="AY495" s="591"/>
      <c r="BB495" s="754">
        <v>0.4</v>
      </c>
      <c r="BC495" s="591">
        <v>3</v>
      </c>
      <c r="BF495" s="754">
        <v>0.4</v>
      </c>
      <c r="BG495" s="591">
        <v>4</v>
      </c>
    </row>
    <row r="496" spans="1:59" s="549" customFormat="1" ht="12.75" hidden="1" customHeight="1">
      <c r="C496" s="766" t="s">
        <v>2471</v>
      </c>
      <c r="F496" s="767" t="s">
        <v>2472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2473</v>
      </c>
      <c r="AX496" s="635">
        <v>5</v>
      </c>
      <c r="AY496" s="591"/>
      <c r="BB496" s="754">
        <v>0.6</v>
      </c>
      <c r="BC496" s="591">
        <v>4</v>
      </c>
      <c r="BF496" s="754">
        <v>0.6</v>
      </c>
      <c r="BG496" s="591">
        <v>5</v>
      </c>
    </row>
    <row r="497" spans="1:81" s="549" customFormat="1" ht="12.75" hidden="1" customHeight="1">
      <c r="C497" s="747"/>
      <c r="D497" s="726"/>
      <c r="E497" s="768"/>
      <c r="F497" s="767" t="s">
        <v>2474</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2475</v>
      </c>
      <c r="G498" s="549"/>
      <c r="H498" s="549"/>
      <c r="I498" s="767"/>
      <c r="J498" s="767"/>
      <c r="K498" s="767"/>
      <c r="L498" s="767"/>
      <c r="M498" s="767"/>
      <c r="N498" s="767"/>
      <c r="O498" s="767"/>
      <c r="P498" s="767"/>
      <c r="Q498" s="767"/>
      <c r="R498" s="767"/>
      <c r="S498" s="767"/>
      <c r="T498" s="767"/>
      <c r="U498" s="767"/>
      <c r="V498" s="2022" t="s">
        <v>935</v>
      </c>
      <c r="W498" s="1405"/>
      <c r="X498" s="1405"/>
      <c r="Y498" s="767"/>
      <c r="Z498" s="767"/>
      <c r="AA498" s="767"/>
      <c r="AB498" s="767"/>
      <c r="AC498" s="767"/>
      <c r="AD498" s="607"/>
      <c r="AE498" s="607"/>
      <c r="AF498" s="607"/>
      <c r="AG498" s="611">
        <f>IF(AND($C$495="Yes",$V$500="N/A",$V$505="N/A",$V$509="N/A",$V$511="N/A"),(VLOOKUP(V498,$AW$494:$AX$496,2,FALSE)),0)</f>
        <v>0</v>
      </c>
      <c r="AH498" s="638" t="s">
        <v>2248</v>
      </c>
      <c r="AI498" s="550"/>
      <c r="AJ498" s="550"/>
      <c r="AK498" s="728"/>
      <c r="AL498" s="549"/>
      <c r="AM498" s="549"/>
      <c r="AN498" s="595"/>
      <c r="AT498" s="549" t="s">
        <v>935</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2476</v>
      </c>
      <c r="G500" s="549"/>
      <c r="H500" s="549"/>
      <c r="I500" s="767"/>
      <c r="J500" s="767"/>
      <c r="K500" s="767"/>
      <c r="L500" s="767"/>
      <c r="M500" s="767"/>
      <c r="N500" s="767"/>
      <c r="O500" s="767"/>
      <c r="P500" s="767"/>
      <c r="Q500" s="767"/>
      <c r="R500" s="767"/>
      <c r="S500" s="767"/>
      <c r="T500" s="767"/>
      <c r="U500" s="767"/>
      <c r="V500" s="2022" t="s">
        <v>935</v>
      </c>
      <c r="W500" s="1405"/>
      <c r="X500" s="1405"/>
      <c r="Y500" s="767"/>
      <c r="Z500" s="767"/>
      <c r="AA500" s="767"/>
      <c r="AB500" s="767"/>
      <c r="AC500" s="767"/>
      <c r="AD500" s="607"/>
      <c r="AE500" s="607"/>
      <c r="AF500" s="607"/>
      <c r="AG500" s="611">
        <f>IF(AND($C$495="Yes",$V$498="N/A", $V$505="N/A",$V$509="N/A",$V$511="N/A"),(VLOOKUP(V500,$AT$494:$AU$496,2,FALSE)),0)</f>
        <v>0</v>
      </c>
      <c r="AH500" s="638" t="s">
        <v>2248</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935</v>
      </c>
      <c r="AP501" s="549">
        <v>0</v>
      </c>
    </row>
    <row r="502" spans="1:81" s="549" customFormat="1" ht="12.75" hidden="1" customHeight="1">
      <c r="C502" s="758"/>
      <c r="E502" s="759"/>
      <c r="F502" s="772" t="s">
        <v>2477</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2478</v>
      </c>
      <c r="AP502" s="635">
        <v>2</v>
      </c>
    </row>
    <row r="503" spans="1:81" s="549" customFormat="1" ht="12.75" hidden="1" customHeight="1">
      <c r="C503" s="758"/>
      <c r="F503" s="607" t="s">
        <v>2479</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2480</v>
      </c>
      <c r="AP503" s="549">
        <v>2</v>
      </c>
    </row>
    <row r="504" spans="1:81" s="594" customFormat="1" ht="12.75" hidden="1" customHeight="1">
      <c r="A504" s="549"/>
      <c r="B504" s="549"/>
      <c r="C504" s="735"/>
      <c r="D504" s="568"/>
      <c r="E504" s="568"/>
      <c r="F504" s="607" t="s">
        <v>2481</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2482</v>
      </c>
      <c r="AP504" s="549">
        <v>2</v>
      </c>
    </row>
    <row r="505" spans="1:81" s="549" customFormat="1" ht="12.75" hidden="1" customHeight="1">
      <c r="C505" s="773"/>
      <c r="F505" s="771" t="s">
        <v>2483</v>
      </c>
      <c r="M505" s="759"/>
      <c r="N505" s="759"/>
      <c r="O505" s="759"/>
      <c r="P505" s="759"/>
      <c r="Q505" s="550"/>
      <c r="R505" s="550"/>
      <c r="S505" s="550"/>
      <c r="T505" s="550"/>
      <c r="U505" s="550"/>
      <c r="V505" s="2022" t="s">
        <v>935</v>
      </c>
      <c r="W505" s="1405"/>
      <c r="X505" s="1405"/>
      <c r="Y505" s="550"/>
      <c r="Z505" s="550"/>
      <c r="AA505" s="550"/>
      <c r="AB505" s="550"/>
      <c r="AC505" s="550"/>
      <c r="AG505" s="611">
        <f>IF(AND($C$495="Yes",$V$498="N/A",$V$500="N/A", $V$509="N/A",$V$511="N/A"),(VLOOKUP($V$505,$AT$498:$AU$500,2,FALSE)),0)</f>
        <v>0</v>
      </c>
      <c r="AH505" s="638" t="s">
        <v>2248</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2484</v>
      </c>
      <c r="D507" s="710"/>
      <c r="E507" s="710"/>
      <c r="F507" s="776" t="s">
        <v>2485</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935</v>
      </c>
      <c r="AP507" s="549">
        <v>0</v>
      </c>
      <c r="AQ507" s="539"/>
    </row>
    <row r="508" spans="1:81" s="594" customFormat="1" ht="12.75" hidden="1" customHeight="1">
      <c r="A508" s="549"/>
      <c r="B508" s="549"/>
      <c r="C508" s="777"/>
      <c r="D508" s="2111"/>
      <c r="E508" s="2069"/>
      <c r="F508" s="767" t="s">
        <v>2486</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2487</v>
      </c>
      <c r="AP508" s="635">
        <v>5</v>
      </c>
      <c r="AQ508" s="539"/>
    </row>
    <row r="509" spans="1:81" s="568" customFormat="1" ht="12.75" hidden="1" customHeight="1">
      <c r="A509" s="675"/>
      <c r="B509" s="549"/>
      <c r="C509" s="758"/>
      <c r="D509" s="549"/>
      <c r="E509" s="549"/>
      <c r="F509" s="778" t="s">
        <v>2475</v>
      </c>
      <c r="G509" s="549"/>
      <c r="H509" s="549"/>
      <c r="I509" s="549"/>
      <c r="J509" s="549"/>
      <c r="K509" s="549"/>
      <c r="L509" s="549"/>
      <c r="M509" s="549"/>
      <c r="N509" s="549"/>
      <c r="O509" s="549"/>
      <c r="P509" s="549"/>
      <c r="Q509" s="549"/>
      <c r="R509" s="549"/>
      <c r="S509" s="549"/>
      <c r="T509" s="549"/>
      <c r="U509" s="549"/>
      <c r="V509" s="2022" t="s">
        <v>935</v>
      </c>
      <c r="W509" s="1405"/>
      <c r="X509" s="1405"/>
      <c r="Y509" s="549"/>
      <c r="Z509" s="549"/>
      <c r="AA509" s="549"/>
      <c r="AB509" s="549"/>
      <c r="AC509" s="549"/>
      <c r="AD509" s="549"/>
      <c r="AE509" s="549"/>
      <c r="AF509" s="549"/>
      <c r="AG509" s="611">
        <f>IF(AND($C$495="Yes",$V$498="N/A",V500="N/A",$V$505="N/A",$V$511="N/A"),(VLOOKUP($V$509,$BB$494:$BC$497,2,FALSE)),0)</f>
        <v>0</v>
      </c>
      <c r="AH509" s="638" t="s">
        <v>2248</v>
      </c>
      <c r="AI509" s="550"/>
      <c r="AJ509" s="549"/>
      <c r="AK509" s="728"/>
      <c r="AL509" s="549"/>
      <c r="AM509" s="549"/>
      <c r="AN509" s="680"/>
      <c r="AO509" s="549" t="s">
        <v>2488</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2489</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2476</v>
      </c>
      <c r="G511" s="762"/>
      <c r="H511" s="762"/>
      <c r="I511" s="723"/>
      <c r="J511" s="723"/>
      <c r="K511" s="723"/>
      <c r="L511" s="723"/>
      <c r="M511" s="723"/>
      <c r="N511" s="723"/>
      <c r="O511" s="723"/>
      <c r="P511" s="723"/>
      <c r="Q511" s="723"/>
      <c r="R511" s="723"/>
      <c r="S511" s="723"/>
      <c r="T511" s="723"/>
      <c r="U511" s="723"/>
      <c r="V511" s="2022" t="s">
        <v>935</v>
      </c>
      <c r="W511" s="1405"/>
      <c r="X511" s="1405"/>
      <c r="Y511" s="723"/>
      <c r="Z511" s="723"/>
      <c r="AA511" s="723"/>
      <c r="AB511" s="723"/>
      <c r="AC511" s="723"/>
      <c r="AD511" s="723"/>
      <c r="AE511" s="723"/>
      <c r="AF511" s="723"/>
      <c r="AG511" s="779">
        <f>IF(AND($C$495="Yes",$V$498="N/A",$V$500="N/A",$V$505="N/A",$V$509="N/A"),(VLOOKUP($V$511,$BF$494:$BG$496,2,FALSE)),0)</f>
        <v>0</v>
      </c>
      <c r="AH511" s="764" t="s">
        <v>2248</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2490</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032" t="s">
        <v>935</v>
      </c>
      <c r="D514" s="1974"/>
      <c r="E514" s="757" t="s">
        <v>163</v>
      </c>
      <c r="F514" s="2035" t="s">
        <v>2463</v>
      </c>
      <c r="G514" s="1974"/>
      <c r="H514" s="1974"/>
      <c r="I514" s="1974"/>
      <c r="J514" s="1974"/>
      <c r="K514" s="1974"/>
      <c r="L514" s="1974"/>
      <c r="M514" s="1974"/>
      <c r="N514" s="1974"/>
      <c r="O514" s="1974"/>
      <c r="P514" s="1974"/>
      <c r="Q514" s="1974"/>
      <c r="R514" s="1974"/>
      <c r="S514" s="1974"/>
      <c r="T514" s="1974"/>
      <c r="U514" s="1974"/>
      <c r="V514" s="1974"/>
      <c r="W514" s="1974"/>
      <c r="X514" s="1974"/>
      <c r="Y514" s="1974"/>
      <c r="Z514" s="1974"/>
      <c r="AA514" s="1974"/>
      <c r="AB514" s="1974"/>
      <c r="AC514" s="1974"/>
      <c r="AD514" s="1974"/>
      <c r="AE514" s="1974"/>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1977"/>
      <c r="G515" s="1977"/>
      <c r="H515" s="1977"/>
      <c r="I515" s="1977"/>
      <c r="J515" s="1977"/>
      <c r="K515" s="1977"/>
      <c r="L515" s="1977"/>
      <c r="M515" s="1977"/>
      <c r="N515" s="1977"/>
      <c r="O515" s="1977"/>
      <c r="P515" s="1977"/>
      <c r="Q515" s="1977"/>
      <c r="R515" s="1977"/>
      <c r="S515" s="1977"/>
      <c r="T515" s="1977"/>
      <c r="U515" s="1977"/>
      <c r="V515" s="1977"/>
      <c r="W515" s="1977"/>
      <c r="X515" s="1977"/>
      <c r="Y515" s="1977"/>
      <c r="Z515" s="1977"/>
      <c r="AA515" s="1977"/>
      <c r="AB515" s="1977"/>
      <c r="AC515" s="1977"/>
      <c r="AD515" s="1977"/>
      <c r="AE515" s="197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110" t="s">
        <v>935</v>
      </c>
      <c r="G516" s="1982"/>
      <c r="H516" s="1982"/>
      <c r="I516" s="1982"/>
      <c r="J516" s="1982"/>
      <c r="K516" s="1982"/>
      <c r="L516" s="1982"/>
      <c r="M516" s="1982"/>
      <c r="N516" s="1982"/>
      <c r="O516" s="1982"/>
      <c r="P516" s="1982"/>
      <c r="Q516" s="1982"/>
      <c r="R516" s="1982"/>
      <c r="S516" s="1982"/>
      <c r="T516" s="1982"/>
      <c r="U516" s="1982"/>
      <c r="V516" s="1982"/>
      <c r="W516" s="1982"/>
      <c r="X516" s="1982"/>
      <c r="Y516" s="1982"/>
      <c r="Z516" s="1982"/>
      <c r="AA516" s="762"/>
      <c r="AB516" s="654"/>
      <c r="AC516" s="654"/>
      <c r="AD516" s="723"/>
      <c r="AE516" s="723"/>
      <c r="AF516" s="723"/>
      <c r="AG516" s="763">
        <f>IF($C$514="Yes",(VLOOKUP($F$516,$AO$484:$AP$492,2,FALSE)),0)</f>
        <v>0</v>
      </c>
      <c r="AH516" s="764" t="s">
        <v>2248</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032" t="s">
        <v>935</v>
      </c>
      <c r="D518" s="1974"/>
      <c r="E518" s="757" t="s">
        <v>165</v>
      </c>
      <c r="F518" s="2122" t="s">
        <v>2491</v>
      </c>
      <c r="G518" s="1974"/>
      <c r="H518" s="1974"/>
      <c r="I518" s="1974"/>
      <c r="J518" s="1974"/>
      <c r="K518" s="1974"/>
      <c r="L518" s="1974"/>
      <c r="M518" s="1974"/>
      <c r="N518" s="1974"/>
      <c r="O518" s="1974"/>
      <c r="P518" s="1974"/>
      <c r="Q518" s="1974"/>
      <c r="R518" s="1974"/>
      <c r="S518" s="1974"/>
      <c r="T518" s="1974"/>
      <c r="U518" s="1974"/>
      <c r="V518" s="1974"/>
      <c r="W518" s="1974"/>
      <c r="X518" s="1974"/>
      <c r="Y518" s="1974"/>
      <c r="Z518" s="1974"/>
      <c r="AA518" s="1974"/>
      <c r="AB518" s="1974"/>
      <c r="AC518" s="1974"/>
      <c r="AD518" s="1974"/>
      <c r="AE518" s="1974"/>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1977"/>
      <c r="G519" s="1977"/>
      <c r="H519" s="1977"/>
      <c r="I519" s="1977"/>
      <c r="J519" s="1977"/>
      <c r="K519" s="1977"/>
      <c r="L519" s="1977"/>
      <c r="M519" s="1977"/>
      <c r="N519" s="1977"/>
      <c r="O519" s="1977"/>
      <c r="P519" s="1977"/>
      <c r="Q519" s="1977"/>
      <c r="R519" s="1977"/>
      <c r="S519" s="1977"/>
      <c r="T519" s="1977"/>
      <c r="U519" s="1977"/>
      <c r="V519" s="1977"/>
      <c r="W519" s="1977"/>
      <c r="X519" s="1977"/>
      <c r="Y519" s="1977"/>
      <c r="Z519" s="1977"/>
      <c r="AA519" s="1977"/>
      <c r="AB519" s="1977"/>
      <c r="AC519" s="1977"/>
      <c r="AD519" s="1977"/>
      <c r="AE519" s="1977"/>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2492</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064" t="s">
        <v>935</v>
      </c>
      <c r="G521" s="1982"/>
      <c r="H521" s="198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2248</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032" t="s">
        <v>935</v>
      </c>
      <c r="D523" s="1974"/>
      <c r="E523" s="757" t="s">
        <v>2493</v>
      </c>
      <c r="F523" s="776" t="s">
        <v>2494</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1989"/>
      <c r="D525" s="1977"/>
      <c r="E525" s="768"/>
      <c r="F525" s="550" t="s">
        <v>2495</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2248</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1985" t="s">
        <v>935</v>
      </c>
      <c r="H526" s="1977"/>
      <c r="I526" s="1977"/>
      <c r="J526" s="1977"/>
      <c r="K526" s="1977"/>
      <c r="L526" s="1977"/>
      <c r="M526" s="1977"/>
      <c r="N526" s="1977"/>
      <c r="O526" s="1977"/>
      <c r="P526" s="1977"/>
      <c r="Q526" s="1977"/>
      <c r="R526" s="1977"/>
      <c r="S526" s="1977"/>
      <c r="T526" s="1977"/>
      <c r="U526" s="1977"/>
      <c r="V526" s="1977"/>
      <c r="W526" s="1977"/>
      <c r="X526" s="1977"/>
      <c r="Y526" s="1977"/>
      <c r="Z526" s="1977"/>
      <c r="AA526" s="1977"/>
      <c r="AB526" s="1977"/>
      <c r="AC526" s="1977"/>
      <c r="AD526" s="1977"/>
      <c r="AE526" s="1977"/>
      <c r="AF526" s="1977"/>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073" t="s">
        <v>935</v>
      </c>
      <c r="D528" s="1977"/>
      <c r="F528" s="550" t="s">
        <v>2496</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2248</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2497</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2498</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073" t="s">
        <v>935</v>
      </c>
      <c r="D532" s="1975"/>
      <c r="F532" s="791" t="s">
        <v>2499</v>
      </c>
      <c r="G532" s="2059" t="s">
        <v>2500</v>
      </c>
      <c r="H532" s="1975"/>
      <c r="I532" s="1975"/>
      <c r="J532" s="1975"/>
      <c r="K532" s="1975"/>
      <c r="L532" s="1975"/>
      <c r="M532" s="1975"/>
      <c r="N532" s="1975"/>
      <c r="O532" s="1975"/>
      <c r="P532" s="1975"/>
      <c r="Q532" s="1975"/>
      <c r="R532" s="1975"/>
      <c r="S532" s="1975"/>
      <c r="T532" s="1975"/>
      <c r="U532" s="1975"/>
      <c r="V532" s="1975"/>
      <c r="W532" s="1975"/>
      <c r="X532" s="1975"/>
      <c r="Y532" s="1975"/>
      <c r="Z532" s="1975"/>
      <c r="AA532" s="1975"/>
      <c r="AB532" s="1975"/>
      <c r="AC532" s="1975"/>
      <c r="AD532" s="1975"/>
      <c r="AE532" s="1975"/>
      <c r="AF532" s="1975"/>
      <c r="AG532" s="611">
        <f>IF(AND($C$532="Yes",$C$523="Yes"),2,0)</f>
        <v>0</v>
      </c>
      <c r="AH532" s="638" t="s">
        <v>2248</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1982"/>
      <c r="H533" s="1982"/>
      <c r="I533" s="1982"/>
      <c r="J533" s="1982"/>
      <c r="K533" s="1982"/>
      <c r="L533" s="1982"/>
      <c r="M533" s="1982"/>
      <c r="N533" s="1982"/>
      <c r="O533" s="1982"/>
      <c r="P533" s="1982"/>
      <c r="Q533" s="1982"/>
      <c r="R533" s="1982"/>
      <c r="S533" s="1982"/>
      <c r="T533" s="1982"/>
      <c r="U533" s="1982"/>
      <c r="V533" s="1982"/>
      <c r="W533" s="1982"/>
      <c r="X533" s="1982"/>
      <c r="Y533" s="1982"/>
      <c r="Z533" s="1982"/>
      <c r="AA533" s="1982"/>
      <c r="AB533" s="1982"/>
      <c r="AC533" s="1982"/>
      <c r="AD533" s="1982"/>
      <c r="AE533" s="1982"/>
      <c r="AF533" s="1982"/>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2501</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1970" t="s">
        <v>935</v>
      </c>
      <c r="D536" s="1405"/>
      <c r="E536" s="798" t="s">
        <v>2502</v>
      </c>
      <c r="F536" s="767" t="s">
        <v>2503</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2248</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036" t="s">
        <v>935</v>
      </c>
      <c r="G537" s="1975"/>
      <c r="H537" s="1975"/>
      <c r="I537" s="1975"/>
      <c r="J537" s="1975"/>
      <c r="K537" s="1975"/>
      <c r="L537" s="1975"/>
      <c r="M537" s="1975"/>
      <c r="N537" s="1975"/>
      <c r="O537" s="1975"/>
      <c r="P537" s="1975"/>
      <c r="Q537" s="1975"/>
      <c r="R537" s="1975"/>
      <c r="S537" s="1975"/>
      <c r="T537" s="1975"/>
      <c r="U537" s="1975"/>
      <c r="V537" s="1975"/>
      <c r="W537" s="1975"/>
      <c r="X537" s="1975"/>
      <c r="Y537" s="1975"/>
      <c r="Z537" s="1975"/>
      <c r="AA537" s="1975"/>
      <c r="AB537" s="1975"/>
      <c r="AC537" s="1975"/>
      <c r="AD537" s="1975"/>
      <c r="AE537" s="1975"/>
      <c r="AF537" s="1975"/>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1982"/>
      <c r="G538" s="1982"/>
      <c r="H538" s="1982"/>
      <c r="I538" s="1982"/>
      <c r="J538" s="1982"/>
      <c r="K538" s="1982"/>
      <c r="L538" s="1982"/>
      <c r="M538" s="1982"/>
      <c r="N538" s="1982"/>
      <c r="O538" s="1982"/>
      <c r="P538" s="1982"/>
      <c r="Q538" s="1982"/>
      <c r="R538" s="1982"/>
      <c r="S538" s="1982"/>
      <c r="T538" s="1982"/>
      <c r="U538" s="1982"/>
      <c r="V538" s="1982"/>
      <c r="W538" s="1982"/>
      <c r="X538" s="1982"/>
      <c r="Y538" s="1982"/>
      <c r="Z538" s="1982"/>
      <c r="AA538" s="1982"/>
      <c r="AB538" s="1982"/>
      <c r="AC538" s="1982"/>
      <c r="AD538" s="1982"/>
      <c r="AE538" s="1982"/>
      <c r="AF538" s="1982"/>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2504</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2505</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2506</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2507</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2508</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2509</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2510</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2511</v>
      </c>
      <c r="AK548" s="1999">
        <f>SUM(AG492:AG537)</f>
        <v>0</v>
      </c>
      <c r="AL548" s="1263"/>
      <c r="AM548" s="1264"/>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8" customHeight="1" thickTop="1"/>
    <row r="551" spans="1:81" s="549" customFormat="1" ht="12.75" customHeight="1">
      <c r="A551" s="539" t="s">
        <v>2512</v>
      </c>
      <c r="B551" s="539" t="s">
        <v>2513</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011" t="s">
        <v>2514</v>
      </c>
      <c r="AF551" s="1975"/>
      <c r="AG551" s="1975"/>
      <c r="AH551" s="1975"/>
      <c r="AI551" s="1975"/>
      <c r="AJ551" s="1975"/>
      <c r="AK551" s="1975"/>
      <c r="AL551" s="593"/>
      <c r="AM551" s="593"/>
      <c r="AN551" s="595"/>
    </row>
    <row r="552" spans="1:81" s="549" customFormat="1" ht="12.75" customHeight="1">
      <c r="A552" s="539"/>
      <c r="B552" s="539" t="s">
        <v>2243</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1978" t="s">
        <v>969</v>
      </c>
      <c r="D554" s="1294"/>
      <c r="E554" s="550"/>
      <c r="F554" s="2030" t="s">
        <v>2515</v>
      </c>
      <c r="G554" s="1974"/>
      <c r="H554" s="1974"/>
      <c r="I554" s="1974"/>
      <c r="J554" s="1974"/>
      <c r="K554" s="1974"/>
      <c r="L554" s="1974"/>
      <c r="M554" s="1974"/>
      <c r="N554" s="1974"/>
      <c r="O554" s="1974"/>
      <c r="P554" s="1974"/>
      <c r="Q554" s="1974"/>
      <c r="R554" s="1974"/>
      <c r="S554" s="1974"/>
      <c r="T554" s="1974"/>
      <c r="U554" s="1974"/>
      <c r="V554" s="1974"/>
      <c r="W554" s="1974"/>
      <c r="X554" s="1974"/>
      <c r="Y554" s="1974"/>
      <c r="Z554" s="1974"/>
      <c r="AA554" s="1974"/>
      <c r="AB554" s="1974"/>
      <c r="AC554" s="1974"/>
      <c r="AD554" s="1974"/>
      <c r="AE554" s="1974"/>
      <c r="AF554" s="1974"/>
      <c r="AG554" s="1974"/>
      <c r="AH554" s="1974"/>
      <c r="AI554" s="1974"/>
      <c r="AJ554" s="1974"/>
      <c r="AK554" s="1974"/>
      <c r="AL554" s="1980"/>
      <c r="AM554" s="593"/>
      <c r="AN554" s="595"/>
    </row>
    <row r="555" spans="1:81" s="549" customFormat="1" ht="12.75" customHeight="1">
      <c r="B555" s="539"/>
      <c r="C555" s="550"/>
      <c r="D555" s="550"/>
      <c r="E555" s="550"/>
      <c r="F555" s="1981"/>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1982"/>
      <c r="AL555" s="1983"/>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1978" t="s">
        <v>935</v>
      </c>
      <c r="D557" s="1294"/>
      <c r="E557" s="802"/>
      <c r="F557" s="642" t="s">
        <v>2516</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006" t="s">
        <v>2517</v>
      </c>
      <c r="G558" s="1975"/>
      <c r="H558" s="1975"/>
      <c r="I558" s="1975"/>
      <c r="J558" s="1975"/>
      <c r="K558" s="1975"/>
      <c r="L558" s="1975"/>
      <c r="M558" s="1975"/>
      <c r="N558" s="1975"/>
      <c r="O558" s="1975"/>
      <c r="P558" s="1975"/>
      <c r="Q558" s="1975"/>
      <c r="R558" s="1975"/>
      <c r="S558" s="1975"/>
      <c r="T558" s="1975"/>
      <c r="U558" s="1975"/>
      <c r="V558" s="1975"/>
      <c r="W558" s="1975"/>
      <c r="X558" s="1975"/>
      <c r="Y558" s="1975"/>
      <c r="Z558" s="1975"/>
      <c r="AA558" s="1975"/>
      <c r="AB558" s="1975"/>
      <c r="AC558" s="1975"/>
      <c r="AD558" s="1975"/>
      <c r="AE558" s="1975"/>
      <c r="AF558" s="1975"/>
      <c r="AG558" s="1975"/>
      <c r="AH558" s="1975"/>
      <c r="AI558" s="1975"/>
      <c r="AJ558" s="1975"/>
      <c r="AK558" s="1975"/>
      <c r="AL558" s="1988"/>
      <c r="AM558" s="593"/>
      <c r="AN558" s="595"/>
      <c r="AS558" s="866"/>
      <c r="AT558" s="866"/>
      <c r="AU558" s="866"/>
      <c r="AV558" s="866"/>
      <c r="AW558" s="866"/>
    </row>
    <row r="559" spans="1:81" s="549" customFormat="1" ht="12.75" customHeight="1">
      <c r="B559" s="802"/>
      <c r="C559" s="802"/>
      <c r="D559" s="802"/>
      <c r="E559" s="802"/>
      <c r="F559" s="1986"/>
      <c r="G559" s="1975"/>
      <c r="H559" s="1975"/>
      <c r="I559" s="1975"/>
      <c r="J559" s="1975"/>
      <c r="K559" s="1975"/>
      <c r="L559" s="1975"/>
      <c r="M559" s="1975"/>
      <c r="N559" s="1975"/>
      <c r="O559" s="1975"/>
      <c r="P559" s="1975"/>
      <c r="Q559" s="1975"/>
      <c r="R559" s="1975"/>
      <c r="S559" s="1975"/>
      <c r="T559" s="1975"/>
      <c r="U559" s="1975"/>
      <c r="V559" s="1975"/>
      <c r="W559" s="1975"/>
      <c r="X559" s="1975"/>
      <c r="Y559" s="1975"/>
      <c r="Z559" s="1975"/>
      <c r="AA559" s="1975"/>
      <c r="AB559" s="1975"/>
      <c r="AC559" s="1975"/>
      <c r="AD559" s="1975"/>
      <c r="AE559" s="1975"/>
      <c r="AF559" s="1975"/>
      <c r="AG559" s="1975"/>
      <c r="AH559" s="1975"/>
      <c r="AI559" s="1975"/>
      <c r="AJ559" s="1975"/>
      <c r="AK559" s="1975"/>
      <c r="AL559" s="1988"/>
      <c r="AM559" s="593"/>
      <c r="AN559" s="595"/>
    </row>
    <row r="560" spans="1:81" s="549" customFormat="1" ht="12.75" customHeight="1">
      <c r="B560" s="802"/>
      <c r="C560" s="802"/>
      <c r="D560" s="802"/>
      <c r="E560" s="802"/>
      <c r="F560" s="807" t="s">
        <v>2518</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056" t="s">
        <v>2519</v>
      </c>
      <c r="G561" s="1975"/>
      <c r="H561" s="1975"/>
      <c r="I561" s="1975"/>
      <c r="J561" s="1975"/>
      <c r="K561" s="1975"/>
      <c r="L561" s="1975"/>
      <c r="M561" s="1975"/>
      <c r="N561" s="1975"/>
      <c r="O561" s="1975"/>
      <c r="P561" s="1975"/>
      <c r="Q561" s="1975"/>
      <c r="R561" s="1975"/>
      <c r="S561" s="1975"/>
      <c r="T561" s="1975"/>
      <c r="U561" s="1975"/>
      <c r="V561" s="1975"/>
      <c r="W561" s="1975"/>
      <c r="X561" s="1975"/>
      <c r="Y561" s="1975"/>
      <c r="Z561" s="1975"/>
      <c r="AA561" s="1975"/>
      <c r="AB561" s="1975"/>
      <c r="AC561" s="1975"/>
      <c r="AD561" s="1975"/>
      <c r="AE561" s="1975"/>
      <c r="AF561" s="1975"/>
      <c r="AG561" s="1975"/>
      <c r="AH561" s="1975"/>
      <c r="AI561" s="1975"/>
      <c r="AJ561" s="1975"/>
      <c r="AK561" s="1975"/>
      <c r="AL561" s="809"/>
      <c r="AM561" s="593"/>
      <c r="AN561" s="595"/>
    </row>
    <row r="562" spans="1:45" s="549" customFormat="1" ht="12.75" customHeight="1">
      <c r="B562" s="802"/>
      <c r="C562" s="802"/>
      <c r="D562" s="802"/>
      <c r="E562" s="802"/>
      <c r="F562" s="1981"/>
      <c r="G562" s="1982"/>
      <c r="H562" s="1982"/>
      <c r="I562" s="1982"/>
      <c r="J562" s="1982"/>
      <c r="K562" s="1982"/>
      <c r="L562" s="1982"/>
      <c r="M562" s="1982"/>
      <c r="N562" s="1982"/>
      <c r="O562" s="1982"/>
      <c r="P562" s="1982"/>
      <c r="Q562" s="1982"/>
      <c r="R562" s="1982"/>
      <c r="S562" s="1982"/>
      <c r="T562" s="1982"/>
      <c r="U562" s="1982"/>
      <c r="V562" s="1982"/>
      <c r="W562" s="1982"/>
      <c r="X562" s="1982"/>
      <c r="Y562" s="1982"/>
      <c r="Z562" s="1982"/>
      <c r="AA562" s="1982"/>
      <c r="AB562" s="1982"/>
      <c r="AC562" s="1982"/>
      <c r="AD562" s="1982"/>
      <c r="AE562" s="1982"/>
      <c r="AF562" s="1982"/>
      <c r="AG562" s="1982"/>
      <c r="AH562" s="1982"/>
      <c r="AI562" s="1982"/>
      <c r="AJ562" s="1982"/>
      <c r="AK562" s="1982"/>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062">
        <f>Application!AJ1001</f>
        <v>45260626</v>
      </c>
      <c r="AQ563" s="1975"/>
      <c r="AR563" s="1975"/>
      <c r="AS563" s="549" t="s">
        <v>2520</v>
      </c>
    </row>
    <row r="564" spans="1:45" s="549" customFormat="1" ht="12.75" customHeight="1">
      <c r="A564" s="498"/>
      <c r="B564" s="447" t="s">
        <v>2521</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047">
        <f>'Sources and Uses Budget'!S107+'Sources and Uses Budget'!T107</f>
        <v>27352250</v>
      </c>
      <c r="AG564" s="1405"/>
      <c r="AH564" s="1405"/>
      <c r="AI564" s="1405"/>
      <c r="AJ564" s="1405"/>
      <c r="AK564" s="593"/>
      <c r="AL564" s="593"/>
      <c r="AM564" s="593"/>
      <c r="AN564" s="595"/>
    </row>
    <row r="565" spans="1:45" s="549" customFormat="1" ht="12.75" customHeight="1">
      <c r="A565" s="623"/>
      <c r="B565" s="623" t="s">
        <v>2522</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061">
        <f>IFERROR(AP572,0)</f>
        <v>81469126.800000012</v>
      </c>
      <c r="AG565" s="1263"/>
      <c r="AH565" s="1263"/>
      <c r="AI565" s="1263"/>
      <c r="AJ565" s="1263"/>
      <c r="AK565" s="593"/>
      <c r="AL565" s="593"/>
      <c r="AM565" s="593"/>
      <c r="AN565" s="595"/>
      <c r="AP565" s="2062">
        <f>Application!AJ1054</f>
        <v>25345950.560000002</v>
      </c>
      <c r="AQ565" s="1975"/>
      <c r="AR565" s="1975"/>
      <c r="AS565" s="549" t="s">
        <v>1778</v>
      </c>
    </row>
    <row r="566" spans="1:45" s="549" customFormat="1" ht="12.75" customHeight="1">
      <c r="A566" s="622"/>
      <c r="B566" s="622" t="s">
        <v>1706</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123">
        <f>IFERROR(ROUNDDOWN(IF(C557="YES",((1-(AF564/AF565))*2),(1-(AF564/AF565))),2),0)</f>
        <v>0.66</v>
      </c>
      <c r="AG566" s="1263"/>
      <c r="AH566" s="1263"/>
      <c r="AI566" s="1263"/>
      <c r="AJ566" s="1263"/>
      <c r="AK566" s="593"/>
      <c r="AL566" s="593"/>
      <c r="AM566" s="593"/>
      <c r="AN566" s="595"/>
      <c r="AP566" s="2114">
        <f>Application!AJ1058</f>
        <v>12672975.280000001</v>
      </c>
      <c r="AQ566" s="1405"/>
      <c r="AR566" s="1405"/>
      <c r="AS566" s="549" t="s">
        <v>1788</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005">
        <f>IF(((AP565+AP566)/AP563)&gt;0.8,0.8,((AP565+AP566)/AP563))</f>
        <v>0.8</v>
      </c>
      <c r="AQ567" s="1417"/>
      <c r="AR567" s="1417"/>
      <c r="AS567" s="549" t="s">
        <v>2523</v>
      </c>
    </row>
    <row r="568" spans="1:45" s="549" customFormat="1" ht="12.75" customHeight="1">
      <c r="A568" s="622"/>
      <c r="B568" s="2112" t="s">
        <v>2524</v>
      </c>
      <c r="C568" s="1974"/>
      <c r="D568" s="1974"/>
      <c r="E568" s="1974"/>
      <c r="F568" s="1974"/>
      <c r="G568" s="1974"/>
      <c r="H568" s="1974"/>
      <c r="I568" s="1974"/>
      <c r="J568" s="1974"/>
      <c r="K568" s="1974"/>
      <c r="L568" s="1974"/>
      <c r="M568" s="1974"/>
      <c r="N568" s="1974"/>
      <c r="O568" s="1974"/>
      <c r="P568" s="1974"/>
      <c r="Q568" s="1974"/>
      <c r="R568" s="1974"/>
      <c r="S568" s="1974"/>
      <c r="T568" s="1974"/>
      <c r="U568" s="1974"/>
      <c r="V568" s="1974"/>
      <c r="W568" s="1974"/>
      <c r="X568" s="1974"/>
      <c r="Y568" s="1974"/>
      <c r="Z568" s="1974"/>
      <c r="AA568" s="1974"/>
      <c r="AB568" s="1974"/>
      <c r="AC568" s="1974"/>
      <c r="AD568" s="1974"/>
      <c r="AE568" s="1974"/>
      <c r="AF568" s="1974"/>
      <c r="AG568" s="1974"/>
      <c r="AH568" s="1974"/>
      <c r="AI568" s="1974"/>
      <c r="AJ568" s="1980"/>
      <c r="AK568" s="593"/>
      <c r="AL568" s="593"/>
      <c r="AM568" s="593"/>
      <c r="AN568" s="595"/>
    </row>
    <row r="569" spans="1:45" s="549" customFormat="1" ht="12.75" customHeight="1">
      <c r="A569" s="622"/>
      <c r="B569" s="1986"/>
      <c r="C569" s="1975"/>
      <c r="D569" s="1975"/>
      <c r="E569" s="1975"/>
      <c r="F569" s="1975"/>
      <c r="G569" s="1975"/>
      <c r="H569" s="1975"/>
      <c r="I569" s="1975"/>
      <c r="J569" s="1975"/>
      <c r="K569" s="1975"/>
      <c r="L569" s="1975"/>
      <c r="M569" s="1975"/>
      <c r="N569" s="1975"/>
      <c r="O569" s="1975"/>
      <c r="P569" s="1975"/>
      <c r="Q569" s="1975"/>
      <c r="R569" s="1975"/>
      <c r="S569" s="1975"/>
      <c r="T569" s="1975"/>
      <c r="U569" s="1975"/>
      <c r="V569" s="1975"/>
      <c r="W569" s="1975"/>
      <c r="X569" s="1975"/>
      <c r="Y569" s="1975"/>
      <c r="Z569" s="1975"/>
      <c r="AA569" s="1975"/>
      <c r="AB569" s="1975"/>
      <c r="AC569" s="1975"/>
      <c r="AD569" s="1975"/>
      <c r="AE569" s="1975"/>
      <c r="AF569" s="1975"/>
      <c r="AG569" s="1975"/>
      <c r="AH569" s="1975"/>
      <c r="AI569" s="1975"/>
      <c r="AJ569" s="1988"/>
      <c r="AK569" s="593"/>
      <c r="AL569" s="593"/>
      <c r="AM569" s="593"/>
      <c r="AN569" s="595"/>
      <c r="AP569" s="2062">
        <f>AP570-AP565-AP566</f>
        <v>45260626</v>
      </c>
      <c r="AQ569" s="1975"/>
      <c r="AR569" s="1975"/>
      <c r="AS569" s="549" t="s">
        <v>2525</v>
      </c>
    </row>
    <row r="570" spans="1:45" s="549" customFormat="1" ht="12.75" customHeight="1">
      <c r="A570" s="622"/>
      <c r="B570" s="1981"/>
      <c r="C570" s="1982"/>
      <c r="D570" s="1982"/>
      <c r="E570" s="1982"/>
      <c r="F570" s="1982"/>
      <c r="G570" s="1982"/>
      <c r="H570" s="1982"/>
      <c r="I570" s="1982"/>
      <c r="J570" s="1982"/>
      <c r="K570" s="1982"/>
      <c r="L570" s="1982"/>
      <c r="M570" s="1982"/>
      <c r="N570" s="1982"/>
      <c r="O570" s="1982"/>
      <c r="P570" s="1982"/>
      <c r="Q570" s="1982"/>
      <c r="R570" s="1982"/>
      <c r="S570" s="1982"/>
      <c r="T570" s="1982"/>
      <c r="U570" s="1982"/>
      <c r="V570" s="1982"/>
      <c r="W570" s="1982"/>
      <c r="X570" s="1982"/>
      <c r="Y570" s="1982"/>
      <c r="Z570" s="1982"/>
      <c r="AA570" s="1982"/>
      <c r="AB570" s="1982"/>
      <c r="AC570" s="1982"/>
      <c r="AD570" s="1982"/>
      <c r="AE570" s="1982"/>
      <c r="AF570" s="1982"/>
      <c r="AG570" s="1982"/>
      <c r="AH570" s="1982"/>
      <c r="AI570" s="1982"/>
      <c r="AJ570" s="1983"/>
      <c r="AK570" s="593"/>
      <c r="AL570" s="593"/>
      <c r="AM570" s="593"/>
      <c r="AN570" s="595"/>
      <c r="AP570" s="2062">
        <f>Application!AJ1062</f>
        <v>83279551.840000004</v>
      </c>
      <c r="AQ570" s="1975"/>
      <c r="AR570" s="1975"/>
      <c r="AS570" s="549" t="s">
        <v>2526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2527</v>
      </c>
      <c r="AK572" s="2063">
        <f>IFERROR(IF(AND(C554="N/A",C557="N/A"),0,IF(AF566=0,0,IF((AF566*100)&gt;12,12,(AF566*100)))),0)</f>
        <v>12</v>
      </c>
      <c r="AL572" s="1263"/>
      <c r="AM572" s="1264"/>
      <c r="AN572" s="595"/>
      <c r="AP572" s="2113">
        <f>AP569+(AP563*AP567)</f>
        <v>81469126.800000012</v>
      </c>
      <c r="AQ572" s="1263"/>
      <c r="AR572" s="1264"/>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2528</v>
      </c>
      <c r="B575" s="539" t="s">
        <v>2529</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011" t="s">
        <v>2221</v>
      </c>
      <c r="AF575" s="1975"/>
      <c r="AG575" s="1975"/>
      <c r="AH575" s="1975"/>
      <c r="AI575" s="1975"/>
      <c r="AJ575" s="1975"/>
      <c r="AK575" s="197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1976" t="s">
        <v>2530</v>
      </c>
      <c r="C577" s="1975"/>
      <c r="D577" s="1975"/>
      <c r="E577" s="1975"/>
      <c r="F577" s="1975"/>
      <c r="G577" s="1975"/>
      <c r="H577" s="1975"/>
      <c r="I577" s="1975"/>
      <c r="J577" s="1975"/>
      <c r="K577" s="1975"/>
      <c r="L577" s="1975"/>
      <c r="M577" s="1975"/>
      <c r="N577" s="1975"/>
      <c r="O577" s="1975"/>
      <c r="P577" s="1975"/>
      <c r="Q577" s="1975"/>
      <c r="R577" s="1975"/>
      <c r="S577" s="1975"/>
      <c r="T577" s="1975"/>
      <c r="U577" s="1975"/>
      <c r="V577" s="1975"/>
      <c r="W577" s="1975"/>
      <c r="X577" s="1975"/>
      <c r="Y577" s="1975"/>
      <c r="Z577" s="1975"/>
      <c r="AA577" s="1975"/>
      <c r="AB577" s="1975"/>
      <c r="AC577" s="1975"/>
      <c r="AD577" s="1975"/>
      <c r="AE577" s="1975"/>
      <c r="AF577" s="1975"/>
      <c r="AG577" s="1975"/>
      <c r="AH577" s="1975"/>
      <c r="AI577" s="1975"/>
      <c r="AJ577" s="1975"/>
      <c r="AK577" s="640"/>
      <c r="AL577" s="571"/>
      <c r="AM577" s="601"/>
      <c r="AN577" s="595"/>
    </row>
    <row r="578" spans="1:42" s="549" customFormat="1" ht="12.75" customHeight="1">
      <c r="A578" s="601"/>
      <c r="B578" s="1975"/>
      <c r="C578" s="1975"/>
      <c r="D578" s="1975"/>
      <c r="E578" s="1975"/>
      <c r="F578" s="1975"/>
      <c r="G578" s="1975"/>
      <c r="H578" s="1975"/>
      <c r="I578" s="1975"/>
      <c r="J578" s="1975"/>
      <c r="K578" s="1975"/>
      <c r="L578" s="1975"/>
      <c r="M578" s="1975"/>
      <c r="N578" s="1975"/>
      <c r="O578" s="1975"/>
      <c r="P578" s="1975"/>
      <c r="Q578" s="1975"/>
      <c r="R578" s="1975"/>
      <c r="S578" s="1975"/>
      <c r="T578" s="1975"/>
      <c r="U578" s="1975"/>
      <c r="V578" s="1975"/>
      <c r="W578" s="1975"/>
      <c r="X578" s="1975"/>
      <c r="Y578" s="1975"/>
      <c r="Z578" s="1975"/>
      <c r="AA578" s="1975"/>
      <c r="AB578" s="1975"/>
      <c r="AC578" s="1975"/>
      <c r="AD578" s="1975"/>
      <c r="AE578" s="1975"/>
      <c r="AF578" s="1975"/>
      <c r="AG578" s="1975"/>
      <c r="AH578" s="1975"/>
      <c r="AI578" s="1975"/>
      <c r="AJ578" s="1975"/>
      <c r="AK578" s="640"/>
      <c r="AL578" s="571"/>
      <c r="AM578" s="601"/>
      <c r="AN578" s="595"/>
    </row>
    <row r="579" spans="1:42" s="549" customFormat="1" ht="12.75" customHeight="1">
      <c r="A579" s="601"/>
      <c r="B579" s="1975"/>
      <c r="C579" s="1975"/>
      <c r="D579" s="1975"/>
      <c r="E579" s="1975"/>
      <c r="F579" s="1975"/>
      <c r="G579" s="1975"/>
      <c r="H579" s="1975"/>
      <c r="I579" s="1975"/>
      <c r="J579" s="1975"/>
      <c r="K579" s="1975"/>
      <c r="L579" s="1975"/>
      <c r="M579" s="1975"/>
      <c r="N579" s="1975"/>
      <c r="O579" s="1975"/>
      <c r="P579" s="1975"/>
      <c r="Q579" s="1975"/>
      <c r="R579" s="1975"/>
      <c r="S579" s="1975"/>
      <c r="T579" s="1975"/>
      <c r="U579" s="1975"/>
      <c r="V579" s="1975"/>
      <c r="W579" s="1975"/>
      <c r="X579" s="1975"/>
      <c r="Y579" s="1975"/>
      <c r="Z579" s="1975"/>
      <c r="AA579" s="1975"/>
      <c r="AB579" s="1975"/>
      <c r="AC579" s="1975"/>
      <c r="AD579" s="1975"/>
      <c r="AE579" s="1975"/>
      <c r="AF579" s="1975"/>
      <c r="AG579" s="1975"/>
      <c r="AH579" s="1975"/>
      <c r="AI579" s="1975"/>
      <c r="AJ579" s="1975"/>
      <c r="AK579" s="640"/>
      <c r="AL579" s="571"/>
      <c r="AM579" s="601"/>
      <c r="AN579" s="595"/>
    </row>
    <row r="580" spans="1:42" s="549" customFormat="1" ht="12.75" customHeight="1">
      <c r="A580" s="601"/>
      <c r="B580" s="1975"/>
      <c r="C580" s="1975"/>
      <c r="D580" s="1975"/>
      <c r="E580" s="1975"/>
      <c r="F580" s="1975"/>
      <c r="G580" s="1975"/>
      <c r="H580" s="1975"/>
      <c r="I580" s="1975"/>
      <c r="J580" s="1975"/>
      <c r="K580" s="1975"/>
      <c r="L580" s="1975"/>
      <c r="M580" s="1975"/>
      <c r="N580" s="1975"/>
      <c r="O580" s="1975"/>
      <c r="P580" s="1975"/>
      <c r="Q580" s="1975"/>
      <c r="R580" s="1975"/>
      <c r="S580" s="1975"/>
      <c r="T580" s="1975"/>
      <c r="U580" s="1975"/>
      <c r="V580" s="1975"/>
      <c r="W580" s="1975"/>
      <c r="X580" s="1975"/>
      <c r="Y580" s="1975"/>
      <c r="Z580" s="1975"/>
      <c r="AA580" s="1975"/>
      <c r="AB580" s="1975"/>
      <c r="AC580" s="1975"/>
      <c r="AD580" s="1975"/>
      <c r="AE580" s="1975"/>
      <c r="AF580" s="1975"/>
      <c r="AG580" s="1975"/>
      <c r="AH580" s="1975"/>
      <c r="AI580" s="1975"/>
      <c r="AJ580" s="1975"/>
      <c r="AK580" s="640"/>
      <c r="AL580" s="571"/>
      <c r="AM580" s="601"/>
      <c r="AN580" s="595"/>
    </row>
    <row r="581" spans="1:42" s="549" customFormat="1" ht="12.75" customHeight="1">
      <c r="A581" s="601"/>
      <c r="B581" s="1975"/>
      <c r="C581" s="1975"/>
      <c r="D581" s="1975"/>
      <c r="E581" s="1975"/>
      <c r="F581" s="1975"/>
      <c r="G581" s="1975"/>
      <c r="H581" s="1975"/>
      <c r="I581" s="1975"/>
      <c r="J581" s="1975"/>
      <c r="K581" s="1975"/>
      <c r="L581" s="1975"/>
      <c r="M581" s="1975"/>
      <c r="N581" s="1975"/>
      <c r="O581" s="1975"/>
      <c r="P581" s="1975"/>
      <c r="Q581" s="1975"/>
      <c r="R581" s="1975"/>
      <c r="S581" s="1975"/>
      <c r="T581" s="1975"/>
      <c r="U581" s="1975"/>
      <c r="V581" s="1975"/>
      <c r="W581" s="1975"/>
      <c r="X581" s="1975"/>
      <c r="Y581" s="1975"/>
      <c r="Z581" s="1975"/>
      <c r="AA581" s="1975"/>
      <c r="AB581" s="1975"/>
      <c r="AC581" s="1975"/>
      <c r="AD581" s="1975"/>
      <c r="AE581" s="1975"/>
      <c r="AF581" s="1975"/>
      <c r="AG581" s="1975"/>
      <c r="AH581" s="1975"/>
      <c r="AI581" s="1975"/>
      <c r="AJ581" s="1975"/>
      <c r="AK581" s="640"/>
      <c r="AL581" s="571"/>
      <c r="AM581" s="601"/>
      <c r="AN581" s="595"/>
    </row>
    <row r="582" spans="1:42" s="549" customFormat="1" ht="12.75" customHeight="1">
      <c r="A582" s="601"/>
      <c r="B582" s="1975"/>
      <c r="C582" s="1975"/>
      <c r="D582" s="1975"/>
      <c r="E582" s="1975"/>
      <c r="F582" s="1975"/>
      <c r="G582" s="1975"/>
      <c r="H582" s="1975"/>
      <c r="I582" s="1975"/>
      <c r="J582" s="1975"/>
      <c r="K582" s="1975"/>
      <c r="L582" s="1975"/>
      <c r="M582" s="1975"/>
      <c r="N582" s="1975"/>
      <c r="O582" s="1975"/>
      <c r="P582" s="1975"/>
      <c r="Q582" s="1975"/>
      <c r="R582" s="1975"/>
      <c r="S582" s="1975"/>
      <c r="T582" s="1975"/>
      <c r="U582" s="1975"/>
      <c r="V582" s="1975"/>
      <c r="W582" s="1975"/>
      <c r="X582" s="1975"/>
      <c r="Y582" s="1975"/>
      <c r="Z582" s="1975"/>
      <c r="AA582" s="1975"/>
      <c r="AB582" s="1975"/>
      <c r="AC582" s="1975"/>
      <c r="AD582" s="1975"/>
      <c r="AE582" s="1975"/>
      <c r="AF582" s="1975"/>
      <c r="AG582" s="1975"/>
      <c r="AH582" s="1975"/>
      <c r="AI582" s="1975"/>
      <c r="AJ582" s="1975"/>
      <c r="AK582" s="640"/>
      <c r="AL582" s="571"/>
      <c r="AM582" s="601"/>
      <c r="AN582" s="595"/>
    </row>
    <row r="583" spans="1:42" s="549" customFormat="1" ht="12.75" customHeight="1">
      <c r="A583" s="601"/>
      <c r="B583" s="1975"/>
      <c r="C583" s="1975"/>
      <c r="D583" s="1975"/>
      <c r="E583" s="1975"/>
      <c r="F583" s="1975"/>
      <c r="G583" s="1975"/>
      <c r="H583" s="1975"/>
      <c r="I583" s="1975"/>
      <c r="J583" s="1975"/>
      <c r="K583" s="1975"/>
      <c r="L583" s="1975"/>
      <c r="M583" s="1975"/>
      <c r="N583" s="1975"/>
      <c r="O583" s="1975"/>
      <c r="P583" s="1975"/>
      <c r="Q583" s="1975"/>
      <c r="R583" s="1975"/>
      <c r="S583" s="1975"/>
      <c r="T583" s="1975"/>
      <c r="U583" s="1975"/>
      <c r="V583" s="1975"/>
      <c r="W583" s="1975"/>
      <c r="X583" s="1975"/>
      <c r="Y583" s="1975"/>
      <c r="Z583" s="1975"/>
      <c r="AA583" s="1975"/>
      <c r="AB583" s="1975"/>
      <c r="AC583" s="1975"/>
      <c r="AD583" s="1975"/>
      <c r="AE583" s="1975"/>
      <c r="AF583" s="1975"/>
      <c r="AG583" s="1975"/>
      <c r="AH583" s="1975"/>
      <c r="AI583" s="1975"/>
      <c r="AJ583" s="1975"/>
      <c r="AK583" s="640"/>
      <c r="AL583" s="571"/>
      <c r="AM583" s="601"/>
      <c r="AN583" s="595"/>
    </row>
    <row r="584" spans="1:42" ht="12.75" customHeight="1">
      <c r="A584" s="601"/>
      <c r="B584" s="1536"/>
      <c r="C584" s="1536"/>
      <c r="D584" s="1536"/>
      <c r="E584" s="1536"/>
      <c r="F584" s="1536"/>
      <c r="G584" s="1536"/>
      <c r="H584" s="1536"/>
      <c r="I584" s="1536"/>
      <c r="J584" s="1536"/>
      <c r="K584" s="1536"/>
      <c r="L584" s="1536"/>
      <c r="M584" s="1536"/>
      <c r="N584" s="1536"/>
      <c r="O584" s="1536"/>
      <c r="P584" s="1536"/>
      <c r="Q584" s="1536"/>
      <c r="R584" s="1536"/>
      <c r="S584" s="1536"/>
      <c r="T584" s="1536"/>
      <c r="U584" s="1536"/>
      <c r="V584" s="1536"/>
      <c r="W584" s="1536"/>
      <c r="X584" s="1536"/>
      <c r="Y584" s="1536"/>
      <c r="Z584" s="1536"/>
      <c r="AA584" s="1536"/>
      <c r="AB584" s="1536"/>
      <c r="AC584" s="1536"/>
      <c r="AD584" s="1536"/>
      <c r="AE584" s="1536"/>
      <c r="AF584" s="1536"/>
      <c r="AG584" s="1536"/>
      <c r="AH584" s="1536"/>
      <c r="AI584" s="1536"/>
      <c r="AJ584" s="1536"/>
      <c r="AK584" s="640"/>
      <c r="AL584" s="571"/>
      <c r="AM584" s="601"/>
    </row>
    <row r="585" spans="1:42" s="549" customFormat="1" ht="12.75" customHeight="1">
      <c r="B585" s="1975"/>
      <c r="C585" s="1975"/>
      <c r="D585" s="1975"/>
      <c r="E585" s="1975"/>
      <c r="F585" s="1975"/>
      <c r="G585" s="1975"/>
      <c r="H585" s="1975"/>
      <c r="I585" s="1975"/>
      <c r="J585" s="1975"/>
      <c r="K585" s="1975"/>
      <c r="L585" s="1975"/>
      <c r="M585" s="1975"/>
      <c r="N585" s="1975"/>
      <c r="O585" s="1975"/>
      <c r="P585" s="1975"/>
      <c r="Q585" s="1975"/>
      <c r="R585" s="1975"/>
      <c r="S585" s="1975"/>
      <c r="T585" s="1975"/>
      <c r="U585" s="1975"/>
      <c r="V585" s="1975"/>
      <c r="W585" s="1975"/>
      <c r="X585" s="1975"/>
      <c r="Y585" s="1975"/>
      <c r="Z585" s="1975"/>
      <c r="AA585" s="1975"/>
      <c r="AB585" s="1975"/>
      <c r="AC585" s="1975"/>
      <c r="AD585" s="1975"/>
      <c r="AE585" s="1975"/>
      <c r="AF585" s="1975"/>
      <c r="AG585" s="1975"/>
      <c r="AH585" s="1975"/>
      <c r="AI585" s="1975"/>
      <c r="AJ585" s="197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2531</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935</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969</v>
      </c>
    </row>
    <row r="589" spans="1:42" s="549" customFormat="1" ht="12.75" customHeight="1">
      <c r="C589" s="539" t="s">
        <v>2532</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134</v>
      </c>
      <c r="E591" s="834" t="s">
        <v>2533</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002" t="s">
        <v>2272</v>
      </c>
      <c r="AG591" s="1975"/>
      <c r="AH591" s="1975"/>
      <c r="AI591" s="1975"/>
      <c r="AJ591" s="1975"/>
      <c r="AK591" s="1975"/>
      <c r="AL591" s="1975"/>
      <c r="AN591" s="595"/>
    </row>
    <row r="592" spans="1:42" s="549" customFormat="1" ht="12.75" customHeight="1">
      <c r="B592" s="536"/>
      <c r="C592" s="614"/>
      <c r="D592" s="659"/>
      <c r="E592" s="834" t="s">
        <v>2534</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2535</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2536</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2537</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2538</v>
      </c>
      <c r="AP595" s="549" t="b">
        <f>IF(Application!AF427&gt;=25,TRUE,FALSE)</f>
        <v>1</v>
      </c>
    </row>
    <row r="596" spans="1:42" s="549" customFormat="1" ht="12.75" customHeight="1">
      <c r="B596" s="536"/>
      <c r="C596" s="614"/>
      <c r="D596" s="659"/>
      <c r="E596" s="834" t="s">
        <v>2539</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898</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139</v>
      </c>
      <c r="E598" s="834" t="s">
        <v>2540</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002" t="s">
        <v>2541</v>
      </c>
      <c r="AG598" s="1975"/>
      <c r="AH598" s="1975"/>
      <c r="AI598" s="1975"/>
      <c r="AJ598" s="1975"/>
      <c r="AK598" s="1975"/>
      <c r="AL598" s="1975"/>
      <c r="AN598" s="595"/>
    </row>
    <row r="599" spans="1:42" s="549" customFormat="1" ht="12.75" customHeight="1">
      <c r="B599" s="536"/>
      <c r="C599" s="929"/>
      <c r="D599" s="659"/>
      <c r="E599" s="834" t="s">
        <v>2542</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935</v>
      </c>
      <c r="AP599" s="669">
        <v>0</v>
      </c>
    </row>
    <row r="600" spans="1:42" s="549" customFormat="1" ht="12.75" customHeight="1">
      <c r="B600" s="608"/>
      <c r="C600" s="927"/>
      <c r="D600" s="659"/>
      <c r="E600" s="834" t="s">
        <v>2543</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134</v>
      </c>
      <c r="AP600" s="549">
        <f>7*AP595</f>
        <v>7</v>
      </c>
    </row>
    <row r="601" spans="1:42" s="549" customFormat="1" ht="12.75" customHeight="1">
      <c r="B601" s="608"/>
      <c r="C601" s="927"/>
      <c r="D601" s="659"/>
      <c r="E601" s="834" t="s">
        <v>2544</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139</v>
      </c>
      <c r="AP601" s="549">
        <v>6</v>
      </c>
    </row>
    <row r="602" spans="1:42" s="549" customFormat="1" ht="12.75" customHeight="1">
      <c r="B602" s="608"/>
      <c r="C602" s="927"/>
      <c r="D602" s="659"/>
      <c r="E602" s="834" t="s">
        <v>2545</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161</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2546</v>
      </c>
      <c r="AP603" s="549">
        <v>4</v>
      </c>
    </row>
    <row r="604" spans="1:42" s="549" customFormat="1" ht="12.75" customHeight="1">
      <c r="B604" s="536"/>
      <c r="C604" s="927"/>
      <c r="D604" s="659" t="s">
        <v>161</v>
      </c>
      <c r="E604" s="834" t="s">
        <v>2547</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002" t="s">
        <v>2548</v>
      </c>
      <c r="AG604" s="1975"/>
      <c r="AH604" s="1975"/>
      <c r="AI604" s="1975"/>
      <c r="AJ604" s="1975"/>
      <c r="AK604" s="1975"/>
      <c r="AL604" s="1975"/>
      <c r="AN604" s="595"/>
      <c r="AO604" s="609" t="s">
        <v>2549</v>
      </c>
      <c r="AP604" s="549">
        <v>3</v>
      </c>
    </row>
    <row r="605" spans="1:42" s="549" customFormat="1" ht="12.75" customHeight="1">
      <c r="B605" s="536"/>
      <c r="C605" s="929"/>
      <c r="D605" s="659"/>
      <c r="E605" s="834" t="s">
        <v>2542</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2543</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2550</v>
      </c>
    </row>
    <row r="607" spans="1:42" s="549" customFormat="1" ht="12.75" customHeight="1">
      <c r="B607" s="536"/>
      <c r="C607" s="929"/>
      <c r="D607" s="659"/>
      <c r="E607" s="834" t="s">
        <v>2544</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2551</v>
      </c>
    </row>
    <row r="608" spans="1:42" s="549" customFormat="1" ht="12.75" customHeight="1">
      <c r="B608" s="536"/>
      <c r="C608" s="929"/>
      <c r="D608" s="659"/>
      <c r="E608" s="834" t="s">
        <v>2545</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2552</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2546</v>
      </c>
      <c r="E610" s="834" t="s">
        <v>2553</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002" t="s">
        <v>2554</v>
      </c>
      <c r="AG610" s="1975"/>
      <c r="AH610" s="1975"/>
      <c r="AI610" s="1975"/>
      <c r="AJ610" s="1975"/>
      <c r="AK610" s="1975"/>
      <c r="AL610" s="1975"/>
      <c r="AN610" s="595"/>
      <c r="AO610" s="549" t="str">
        <f>X647</f>
        <v>N/A</v>
      </c>
    </row>
    <row r="611" spans="1:53" s="549" customFormat="1" ht="12.75" customHeight="1">
      <c r="B611" s="536"/>
      <c r="C611" s="929"/>
      <c r="D611" s="659"/>
      <c r="E611" s="834" t="s">
        <v>2555</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2556</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2557</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2558</v>
      </c>
    </row>
    <row r="614" spans="1:53" s="549" customFormat="1" ht="12.75" customHeight="1">
      <c r="B614" s="608"/>
      <c r="C614" s="927"/>
      <c r="D614" s="659"/>
      <c r="E614" s="536" t="s">
        <v>2559</v>
      </c>
      <c r="O614" s="2096" t="s">
        <v>1116</v>
      </c>
      <c r="P614" s="1294"/>
      <c r="Q614" s="1294"/>
      <c r="R614" s="1294"/>
      <c r="S614" s="1294"/>
      <c r="T614" s="1294"/>
      <c r="U614" s="1294"/>
      <c r="V614" s="1294"/>
      <c r="W614" s="1294"/>
      <c r="X614" s="1294"/>
      <c r="Y614" s="1294"/>
      <c r="Z614" s="1294"/>
      <c r="AA614" s="1294"/>
      <c r="AB614" s="1294"/>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2549</v>
      </c>
      <c r="E616" s="834" t="s">
        <v>2560</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002" t="s">
        <v>2288</v>
      </c>
      <c r="AG616" s="1975"/>
      <c r="AH616" s="1975"/>
      <c r="AI616" s="1975"/>
      <c r="AJ616" s="1975"/>
      <c r="AK616" s="1975"/>
      <c r="AL616" s="1975"/>
      <c r="AN616" s="595"/>
    </row>
    <row r="617" spans="1:53" s="549" customFormat="1" ht="12.75" customHeight="1">
      <c r="B617" s="536"/>
      <c r="C617" s="927"/>
      <c r="D617" s="659"/>
      <c r="E617" s="834" t="s">
        <v>2561</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935</v>
      </c>
      <c r="AP618" s="669">
        <v>0</v>
      </c>
      <c r="AT618" s="549" t="s">
        <v>935</v>
      </c>
      <c r="AU618" s="669">
        <v>0</v>
      </c>
    </row>
    <row r="619" spans="1:53" s="549" customFormat="1" ht="12.75" customHeight="1">
      <c r="B619" s="536"/>
      <c r="C619" s="929"/>
      <c r="D619" s="536" t="s">
        <v>2562</v>
      </c>
      <c r="E619" s="932"/>
      <c r="F619" s="932"/>
      <c r="G619" s="932"/>
      <c r="H619" s="1971" t="s">
        <v>134</v>
      </c>
      <c r="I619" s="1294"/>
      <c r="J619" s="932"/>
      <c r="K619" s="932"/>
      <c r="L619" s="932"/>
      <c r="N619" s="22"/>
      <c r="O619" s="22"/>
      <c r="P619" s="22"/>
      <c r="Q619" s="1143" t="s">
        <v>2563</v>
      </c>
      <c r="R619" s="2109"/>
      <c r="S619" s="1293"/>
      <c r="T619" s="1293"/>
      <c r="U619" s="1293"/>
      <c r="V619" s="1293"/>
      <c r="W619" s="1293"/>
      <c r="X619" s="536"/>
      <c r="Y619" s="536"/>
      <c r="Z619" s="536"/>
      <c r="AA619" s="536"/>
      <c r="AB619" s="536"/>
      <c r="AC619" s="536"/>
      <c r="AD619" s="536"/>
      <c r="AE619" s="536"/>
      <c r="AF619" s="536"/>
      <c r="AG619" s="536"/>
      <c r="AH619" s="536"/>
      <c r="AI619" s="536"/>
      <c r="AJ619" s="536"/>
      <c r="AK619" s="536"/>
      <c r="AL619" s="536"/>
      <c r="AN619" s="595"/>
      <c r="AO619" s="609" t="s">
        <v>134</v>
      </c>
      <c r="AP619" s="549">
        <v>3</v>
      </c>
      <c r="AT619" s="609" t="s">
        <v>134</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042" t="str">
        <f>IF(AND(H619="(i)",NOT(AP595)),AO612,IF(AND(H619="(iv)",OR(R619=AO608,R619=AO607),NOT(AP596)),AO613,""))</f>
        <v/>
      </c>
      <c r="Z620" s="1975"/>
      <c r="AA620" s="1975"/>
      <c r="AB620" s="1975"/>
      <c r="AC620" s="1975"/>
      <c r="AD620" s="1975"/>
      <c r="AE620" s="1975"/>
      <c r="AF620" s="1975"/>
      <c r="AG620" s="1975"/>
      <c r="AH620" s="1975"/>
      <c r="AI620" s="1975"/>
      <c r="AJ620" s="1975"/>
      <c r="AK620" s="1975"/>
      <c r="AL620" s="1975"/>
      <c r="AM620" s="1383"/>
      <c r="AN620" s="595"/>
      <c r="AO620" s="609" t="s">
        <v>139</v>
      </c>
      <c r="AP620" s="549">
        <v>2</v>
      </c>
      <c r="AT620" s="609" t="s">
        <v>139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1975"/>
      <c r="Z621" s="1975"/>
      <c r="AA621" s="1975"/>
      <c r="AB621" s="1975"/>
      <c r="AC621" s="1975"/>
      <c r="AD621" s="1975"/>
      <c r="AE621" s="1975"/>
      <c r="AF621" s="1975"/>
      <c r="AG621" s="1975"/>
      <c r="AH621" s="1975"/>
      <c r="AI621" s="1975"/>
      <c r="AJ621" s="1975"/>
      <c r="AK621" s="1975"/>
      <c r="AL621" s="1975"/>
      <c r="AM621" s="1383"/>
      <c r="AN621" s="595"/>
      <c r="AO621" s="609"/>
      <c r="AT621" s="609"/>
    </row>
    <row r="622" spans="1:53" s="549" customFormat="1" ht="12.75" customHeight="1">
      <c r="B622" s="536"/>
      <c r="C622" s="929"/>
      <c r="D622" s="536" t="s">
        <v>2564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2565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2566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2567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935</v>
      </c>
      <c r="AP626" s="669">
        <v>0</v>
      </c>
    </row>
    <row r="627" spans="1:42" s="549" customFormat="1" ht="12.75" customHeight="1">
      <c r="B627" s="536"/>
      <c r="C627" s="929"/>
      <c r="D627" s="536"/>
      <c r="E627" s="536" t="s">
        <v>2562</v>
      </c>
      <c r="F627" s="932"/>
      <c r="G627" s="932"/>
      <c r="I627" s="2025" t="s">
        <v>935</v>
      </c>
      <c r="J627" s="1294"/>
      <c r="K627" s="1294"/>
      <c r="L627" s="1294"/>
      <c r="M627" s="1294"/>
      <c r="N627" s="1294"/>
      <c r="O627" s="1294"/>
      <c r="P627" s="1294"/>
      <c r="Q627" s="1294"/>
      <c r="R627" s="1294"/>
      <c r="S627" s="1294"/>
      <c r="T627" s="1294"/>
      <c r="U627" s="1294"/>
      <c r="V627" s="1294"/>
      <c r="W627" s="1294"/>
      <c r="X627" s="1294"/>
      <c r="Y627" s="1294"/>
      <c r="Z627" s="1294"/>
      <c r="AA627" s="1294"/>
      <c r="AB627" s="1294"/>
      <c r="AC627" s="1294"/>
      <c r="AD627" s="1294"/>
      <c r="AE627" s="1294"/>
      <c r="AF627" s="536"/>
      <c r="AG627" s="536"/>
      <c r="AH627" s="536"/>
      <c r="AI627" s="536"/>
      <c r="AJ627" s="536"/>
      <c r="AK627" s="536"/>
      <c r="AL627" s="536"/>
      <c r="AN627" s="595"/>
      <c r="AO627" s="549" t="s">
        <v>2568</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2569</v>
      </c>
      <c r="AP628" s="549">
        <v>2</v>
      </c>
    </row>
    <row r="629" spans="1:42" s="549" customFormat="1" ht="12.75" customHeight="1">
      <c r="B629" s="2048" t="s">
        <v>935</v>
      </c>
      <c r="C629" s="1294"/>
      <c r="D629" s="640"/>
      <c r="E629" s="1976" t="s">
        <v>2570</v>
      </c>
      <c r="F629" s="1975"/>
      <c r="G629" s="1975"/>
      <c r="H629" s="1975"/>
      <c r="I629" s="1975"/>
      <c r="J629" s="1975"/>
      <c r="K629" s="1975"/>
      <c r="L629" s="1975"/>
      <c r="M629" s="1975"/>
      <c r="N629" s="1975"/>
      <c r="O629" s="1975"/>
      <c r="P629" s="1975"/>
      <c r="Q629" s="1975"/>
      <c r="R629" s="1975"/>
      <c r="S629" s="1975"/>
      <c r="T629" s="1975"/>
      <c r="U629" s="1975"/>
      <c r="V629" s="1975"/>
      <c r="W629" s="1975"/>
      <c r="X629" s="1975"/>
      <c r="Y629" s="1975"/>
      <c r="Z629" s="1975"/>
      <c r="AA629" s="1975"/>
      <c r="AB629" s="1975"/>
      <c r="AC629" s="1975"/>
      <c r="AD629" s="1975"/>
      <c r="AE629" s="1975"/>
      <c r="AF629" s="1975"/>
      <c r="AG629" s="1975"/>
      <c r="AH629" s="640"/>
      <c r="AI629" s="640"/>
      <c r="AJ629" s="640"/>
      <c r="AK629" s="640"/>
      <c r="AL629" s="640"/>
      <c r="AN629" s="595"/>
    </row>
    <row r="630" spans="1:42" s="549" customFormat="1" ht="12.75" customHeight="1">
      <c r="B630" s="536"/>
      <c r="C630" s="929"/>
      <c r="D630" s="640"/>
      <c r="E630" s="1975"/>
      <c r="F630" s="1975"/>
      <c r="G630" s="1975"/>
      <c r="H630" s="1975"/>
      <c r="I630" s="1975"/>
      <c r="J630" s="1975"/>
      <c r="K630" s="1975"/>
      <c r="L630" s="1975"/>
      <c r="M630" s="1975"/>
      <c r="N630" s="1975"/>
      <c r="O630" s="1975"/>
      <c r="P630" s="1975"/>
      <c r="Q630" s="1975"/>
      <c r="R630" s="1975"/>
      <c r="S630" s="1975"/>
      <c r="T630" s="1975"/>
      <c r="U630" s="1975"/>
      <c r="V630" s="1975"/>
      <c r="W630" s="1975"/>
      <c r="X630" s="1975"/>
      <c r="Y630" s="1975"/>
      <c r="Z630" s="1975"/>
      <c r="AA630" s="1975"/>
      <c r="AB630" s="1975"/>
      <c r="AC630" s="1975"/>
      <c r="AD630" s="1975"/>
      <c r="AE630" s="1975"/>
      <c r="AF630" s="1975"/>
      <c r="AG630" s="1975"/>
      <c r="AH630" s="640"/>
      <c r="AI630" s="640"/>
      <c r="AJ630" s="640"/>
      <c r="AK630" s="640"/>
      <c r="AL630" s="640"/>
      <c r="AN630" s="595"/>
    </row>
    <row r="631" spans="1:42" s="549" customFormat="1" ht="12.75" customHeight="1">
      <c r="B631" s="536"/>
      <c r="C631" s="929"/>
      <c r="D631" s="640"/>
      <c r="E631" s="1975"/>
      <c r="F631" s="1975"/>
      <c r="G631" s="1975"/>
      <c r="H631" s="1975"/>
      <c r="I631" s="1975"/>
      <c r="J631" s="1975"/>
      <c r="K631" s="1975"/>
      <c r="L631" s="1975"/>
      <c r="M631" s="1975"/>
      <c r="N631" s="1975"/>
      <c r="O631" s="1975"/>
      <c r="P631" s="1975"/>
      <c r="Q631" s="1975"/>
      <c r="R631" s="1975"/>
      <c r="S631" s="1975"/>
      <c r="T631" s="1975"/>
      <c r="U631" s="1975"/>
      <c r="V631" s="1975"/>
      <c r="W631" s="1975"/>
      <c r="X631" s="1975"/>
      <c r="Y631" s="1975"/>
      <c r="Z631" s="1975"/>
      <c r="AA631" s="1975"/>
      <c r="AB631" s="1975"/>
      <c r="AC631" s="1975"/>
      <c r="AD631" s="1975"/>
      <c r="AE631" s="1975"/>
      <c r="AF631" s="1975"/>
      <c r="AG631" s="1975"/>
      <c r="AH631" s="640"/>
      <c r="AI631" s="640"/>
      <c r="AJ631" s="640"/>
      <c r="AK631" s="640"/>
      <c r="AL631" s="640"/>
      <c r="AN631" s="595"/>
    </row>
    <row r="632" spans="1:42" s="549" customFormat="1" ht="12.75" customHeight="1">
      <c r="B632" s="536"/>
      <c r="C632" s="929"/>
      <c r="D632" s="640"/>
      <c r="E632" s="1975"/>
      <c r="F632" s="1975"/>
      <c r="G632" s="1975"/>
      <c r="H632" s="1975"/>
      <c r="I632" s="1975"/>
      <c r="J632" s="1975"/>
      <c r="K632" s="1975"/>
      <c r="L632" s="1975"/>
      <c r="M632" s="1975"/>
      <c r="N632" s="1975"/>
      <c r="O632" s="1975"/>
      <c r="P632" s="1975"/>
      <c r="Q632" s="1975"/>
      <c r="R632" s="1975"/>
      <c r="S632" s="1975"/>
      <c r="T632" s="1975"/>
      <c r="U632" s="1975"/>
      <c r="V632" s="1975"/>
      <c r="W632" s="1975"/>
      <c r="X632" s="1975"/>
      <c r="Y632" s="1975"/>
      <c r="Z632" s="1975"/>
      <c r="AA632" s="1975"/>
      <c r="AB632" s="1975"/>
      <c r="AC632" s="1975"/>
      <c r="AD632" s="1975"/>
      <c r="AE632" s="1975"/>
      <c r="AF632" s="1975"/>
      <c r="AG632" s="197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2571</v>
      </c>
      <c r="AJ634" s="1999">
        <f>VLOOKUP($H$619,$AO$599:$AP$604,2,FALSE)+IF(R619=AO607,0,VLOOKUP($I$627,$AO$626:$AP$628,2,FALSE))</f>
        <v>7</v>
      </c>
      <c r="AK634" s="1264"/>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75</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134</v>
      </c>
      <c r="E638" s="2068" t="s">
        <v>2572</v>
      </c>
      <c r="F638" s="2069"/>
      <c r="G638" s="2069"/>
      <c r="H638" s="2069"/>
      <c r="I638" s="2069"/>
      <c r="J638" s="2069"/>
      <c r="K638" s="2069"/>
      <c r="L638" s="2069"/>
      <c r="M638" s="2069"/>
      <c r="N638" s="2069"/>
      <c r="O638" s="2069"/>
      <c r="P638" s="2069"/>
      <c r="Q638" s="2069"/>
      <c r="R638" s="2069"/>
      <c r="S638" s="2069"/>
      <c r="T638" s="2069"/>
      <c r="U638" s="2069"/>
      <c r="V638" s="2069"/>
      <c r="W638" s="2069"/>
      <c r="X638" s="2069"/>
      <c r="Y638" s="2069"/>
      <c r="Z638" s="2069"/>
      <c r="AA638" s="2069"/>
      <c r="AB638" s="2069"/>
      <c r="AC638" s="2069"/>
      <c r="AD638" s="2069"/>
      <c r="AE638" s="539"/>
      <c r="AF638" s="2002" t="s">
        <v>2288</v>
      </c>
      <c r="AG638" s="2069"/>
      <c r="AH638" s="2069"/>
      <c r="AI638" s="2069"/>
      <c r="AJ638" s="2069"/>
      <c r="AK638" s="2069"/>
      <c r="AL638" s="2069"/>
      <c r="AM638" s="549"/>
      <c r="AN638" s="674"/>
    </row>
    <row r="639" spans="1:42" s="549" customFormat="1" ht="12.75" customHeight="1">
      <c r="A639" s="675"/>
      <c r="B639" s="536"/>
      <c r="C639" s="929"/>
      <c r="D639" s="659"/>
      <c r="E639" s="1975"/>
      <c r="F639" s="1975"/>
      <c r="G639" s="1975"/>
      <c r="H639" s="1975"/>
      <c r="I639" s="1975"/>
      <c r="J639" s="1975"/>
      <c r="K639" s="1975"/>
      <c r="L639" s="1975"/>
      <c r="M639" s="1975"/>
      <c r="N639" s="1975"/>
      <c r="O639" s="1975"/>
      <c r="P639" s="1975"/>
      <c r="Q639" s="1975"/>
      <c r="R639" s="1975"/>
      <c r="S639" s="1975"/>
      <c r="T639" s="1975"/>
      <c r="U639" s="1975"/>
      <c r="V639" s="1975"/>
      <c r="W639" s="1975"/>
      <c r="X639" s="1975"/>
      <c r="Y639" s="1975"/>
      <c r="Z639" s="1975"/>
      <c r="AA639" s="1975"/>
      <c r="AB639" s="1975"/>
      <c r="AC639" s="1975"/>
      <c r="AD639" s="1975"/>
      <c r="AE639" s="536"/>
      <c r="AF639" s="536"/>
      <c r="AG639" s="536"/>
      <c r="AH639" s="536"/>
      <c r="AI639" s="536"/>
      <c r="AJ639" s="536"/>
      <c r="AK639" s="536"/>
      <c r="AL639" s="536"/>
      <c r="AN639" s="595"/>
    </row>
    <row r="640" spans="1:42" s="549" customFormat="1" ht="12.75" customHeight="1">
      <c r="B640" s="536"/>
      <c r="C640" s="927"/>
      <c r="D640" s="659"/>
      <c r="E640" s="1975"/>
      <c r="F640" s="1975"/>
      <c r="G640" s="1975"/>
      <c r="H640" s="1975"/>
      <c r="I640" s="1975"/>
      <c r="J640" s="1975"/>
      <c r="K640" s="1975"/>
      <c r="L640" s="1975"/>
      <c r="M640" s="1975"/>
      <c r="N640" s="1975"/>
      <c r="O640" s="1975"/>
      <c r="P640" s="1975"/>
      <c r="Q640" s="1975"/>
      <c r="R640" s="1975"/>
      <c r="S640" s="1975"/>
      <c r="T640" s="1975"/>
      <c r="U640" s="1975"/>
      <c r="V640" s="1975"/>
      <c r="W640" s="1975"/>
      <c r="X640" s="1975"/>
      <c r="Y640" s="1975"/>
      <c r="Z640" s="1975"/>
      <c r="AA640" s="1975"/>
      <c r="AB640" s="1975"/>
      <c r="AC640" s="1975"/>
      <c r="AD640" s="1975"/>
      <c r="AE640" s="536"/>
      <c r="AF640" s="536"/>
      <c r="AG640" s="536"/>
      <c r="AH640" s="536"/>
      <c r="AI640" s="536"/>
      <c r="AJ640" s="536"/>
      <c r="AK640" s="536"/>
      <c r="AL640" s="536"/>
      <c r="AN640" s="595"/>
    </row>
    <row r="641" spans="1:42" s="549" customFormat="1" ht="12.75" customHeight="1">
      <c r="B641" s="536"/>
      <c r="C641" s="927"/>
      <c r="D641" s="659"/>
      <c r="E641" s="1975"/>
      <c r="F641" s="1975"/>
      <c r="G641" s="1975"/>
      <c r="H641" s="1975"/>
      <c r="I641" s="1975"/>
      <c r="J641" s="1975"/>
      <c r="K641" s="1975"/>
      <c r="L641" s="1975"/>
      <c r="M641" s="1975"/>
      <c r="N641" s="1975"/>
      <c r="O641" s="1975"/>
      <c r="P641" s="1975"/>
      <c r="Q641" s="1975"/>
      <c r="R641" s="1975"/>
      <c r="S641" s="1975"/>
      <c r="T641" s="1975"/>
      <c r="U641" s="1975"/>
      <c r="V641" s="1975"/>
      <c r="W641" s="1975"/>
      <c r="X641" s="1975"/>
      <c r="Y641" s="1975"/>
      <c r="Z641" s="1975"/>
      <c r="AA641" s="1975"/>
      <c r="AB641" s="1975"/>
      <c r="AC641" s="1975"/>
      <c r="AD641" s="1975"/>
      <c r="AE641" s="536"/>
      <c r="AF641" s="536"/>
      <c r="AG641" s="536"/>
      <c r="AH641" s="536"/>
      <c r="AI641" s="536"/>
      <c r="AJ641" s="536"/>
      <c r="AK641" s="536"/>
      <c r="AL641" s="536"/>
      <c r="AN641" s="595"/>
    </row>
    <row r="642" spans="1:42" s="549" customFormat="1" ht="12.75" customHeight="1">
      <c r="B642" s="536"/>
      <c r="C642" s="927"/>
      <c r="D642" s="659"/>
      <c r="E642" s="1975"/>
      <c r="F642" s="1975"/>
      <c r="G642" s="1975"/>
      <c r="H642" s="1975"/>
      <c r="I642" s="1975"/>
      <c r="J642" s="1975"/>
      <c r="K642" s="1975"/>
      <c r="L642" s="1975"/>
      <c r="M642" s="1975"/>
      <c r="N642" s="1975"/>
      <c r="O642" s="1975"/>
      <c r="P642" s="1975"/>
      <c r="Q642" s="1975"/>
      <c r="R642" s="1975"/>
      <c r="S642" s="1975"/>
      <c r="T642" s="1975"/>
      <c r="U642" s="1975"/>
      <c r="V642" s="1975"/>
      <c r="W642" s="1975"/>
      <c r="X642" s="1975"/>
      <c r="Y642" s="1975"/>
      <c r="Z642" s="1975"/>
      <c r="AA642" s="1975"/>
      <c r="AB642" s="1975"/>
      <c r="AC642" s="1975"/>
      <c r="AD642" s="1975"/>
      <c r="AE642" s="536"/>
      <c r="AF642" s="536"/>
      <c r="AG642" s="536"/>
      <c r="AH642" s="536"/>
      <c r="AI642" s="536"/>
      <c r="AJ642" s="536"/>
      <c r="AK642" s="536"/>
      <c r="AL642" s="536"/>
      <c r="AN642" s="595"/>
    </row>
    <row r="643" spans="1:42" s="549" customFormat="1" ht="12.75" customHeight="1">
      <c r="B643" s="536"/>
      <c r="C643" s="927"/>
      <c r="D643" s="659"/>
      <c r="E643" s="1975"/>
      <c r="F643" s="1975"/>
      <c r="G643" s="1975"/>
      <c r="H643" s="1975"/>
      <c r="I643" s="1975"/>
      <c r="J643" s="1975"/>
      <c r="K643" s="1975"/>
      <c r="L643" s="1975"/>
      <c r="M643" s="1975"/>
      <c r="N643" s="1975"/>
      <c r="O643" s="1975"/>
      <c r="P643" s="1975"/>
      <c r="Q643" s="1975"/>
      <c r="R643" s="1975"/>
      <c r="S643" s="1975"/>
      <c r="T643" s="1975"/>
      <c r="U643" s="1975"/>
      <c r="V643" s="1975"/>
      <c r="W643" s="1975"/>
      <c r="X643" s="1975"/>
      <c r="Y643" s="1975"/>
      <c r="Z643" s="1975"/>
      <c r="AA643" s="1975"/>
      <c r="AB643" s="1975"/>
      <c r="AC643" s="1975"/>
      <c r="AD643" s="1975"/>
      <c r="AE643" s="536"/>
      <c r="AF643" s="536"/>
      <c r="AG643" s="536"/>
      <c r="AH643" s="536"/>
      <c r="AI643" s="536"/>
      <c r="AJ643" s="536"/>
      <c r="AK643" s="536"/>
      <c r="AL643" s="536"/>
      <c r="AN643" s="595"/>
    </row>
    <row r="644" spans="1:42" s="549" customFormat="1" ht="12.75" customHeight="1">
      <c r="A644" s="635"/>
      <c r="B644" s="614"/>
      <c r="C644" s="936"/>
      <c r="D644" s="659"/>
      <c r="E644" s="1975"/>
      <c r="F644" s="1975"/>
      <c r="G644" s="1975"/>
      <c r="H644" s="1975"/>
      <c r="I644" s="1975"/>
      <c r="J644" s="1975"/>
      <c r="K644" s="1975"/>
      <c r="L644" s="1975"/>
      <c r="M644" s="1975"/>
      <c r="N644" s="1975"/>
      <c r="O644" s="1975"/>
      <c r="P644" s="1975"/>
      <c r="Q644" s="1975"/>
      <c r="R644" s="1975"/>
      <c r="S644" s="1975"/>
      <c r="T644" s="1975"/>
      <c r="U644" s="1975"/>
      <c r="V644" s="1975"/>
      <c r="W644" s="1975"/>
      <c r="X644" s="1975"/>
      <c r="Y644" s="1975"/>
      <c r="Z644" s="1975"/>
      <c r="AA644" s="1975"/>
      <c r="AB644" s="1975"/>
      <c r="AC644" s="1975"/>
      <c r="AD644" s="1975"/>
      <c r="AE644" s="614"/>
      <c r="AF644" s="614"/>
      <c r="AG644" s="614"/>
      <c r="AH644" s="614"/>
      <c r="AI644" s="614"/>
      <c r="AJ644" s="614"/>
      <c r="AK644" s="536"/>
      <c r="AL644" s="536"/>
      <c r="AN644" s="595"/>
    </row>
    <row r="645" spans="1:42" s="549" customFormat="1" ht="12.75" customHeight="1">
      <c r="B645" s="614"/>
      <c r="C645" s="936"/>
      <c r="D645" s="659"/>
      <c r="E645" s="1975"/>
      <c r="F645" s="1975"/>
      <c r="G645" s="1975"/>
      <c r="H645" s="1975"/>
      <c r="I645" s="1975"/>
      <c r="J645" s="1975"/>
      <c r="K645" s="1975"/>
      <c r="L645" s="1975"/>
      <c r="M645" s="1975"/>
      <c r="N645" s="1975"/>
      <c r="O645" s="1975"/>
      <c r="P645" s="1975"/>
      <c r="Q645" s="1975"/>
      <c r="R645" s="1975"/>
      <c r="S645" s="1975"/>
      <c r="T645" s="1975"/>
      <c r="U645" s="1975"/>
      <c r="V645" s="1975"/>
      <c r="W645" s="1975"/>
      <c r="X645" s="1975"/>
      <c r="Y645" s="1975"/>
      <c r="Z645" s="1975"/>
      <c r="AA645" s="1975"/>
      <c r="AB645" s="1975"/>
      <c r="AC645" s="1975"/>
      <c r="AD645" s="1975"/>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935</v>
      </c>
      <c r="AP646" s="669">
        <v>0</v>
      </c>
    </row>
    <row r="647" spans="1:42" s="549" customFormat="1" ht="12.75" customHeight="1">
      <c r="B647" s="614"/>
      <c r="C647" s="927"/>
      <c r="D647" s="659"/>
      <c r="E647" s="614" t="s">
        <v>2573</v>
      </c>
      <c r="F647" s="937"/>
      <c r="G647" s="937"/>
      <c r="H647" s="937"/>
      <c r="I647" s="937"/>
      <c r="J647" s="937"/>
      <c r="K647" s="937"/>
      <c r="L647" s="937"/>
      <c r="M647" s="937"/>
      <c r="N647" s="937"/>
      <c r="O647" s="937"/>
      <c r="P647" s="937"/>
      <c r="Q647" s="937"/>
      <c r="R647" s="937"/>
      <c r="U647" s="937"/>
      <c r="V647" s="937"/>
      <c r="W647" s="937"/>
      <c r="X647" s="2048" t="s">
        <v>935</v>
      </c>
      <c r="Y647" s="1294"/>
      <c r="Z647" s="937"/>
      <c r="AA647" s="937"/>
      <c r="AB647" s="937"/>
      <c r="AC647" s="937"/>
      <c r="AD647" s="937"/>
      <c r="AE647" s="536"/>
      <c r="AF647" s="614"/>
      <c r="AG647" s="614"/>
      <c r="AH647" s="614"/>
      <c r="AI647" s="614"/>
      <c r="AJ647" s="614"/>
      <c r="AK647" s="536"/>
      <c r="AL647" s="536"/>
      <c r="AN647" s="595"/>
      <c r="AO647" s="609" t="s">
        <v>134</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139</v>
      </c>
      <c r="AP648" s="676">
        <v>4</v>
      </c>
    </row>
    <row r="649" spans="1:42" s="549" customFormat="1" ht="12.75" customHeight="1">
      <c r="B649" s="536"/>
      <c r="C649" s="927"/>
      <c r="D649" s="659" t="s">
        <v>139</v>
      </c>
      <c r="E649" s="553" t="s">
        <v>2574</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002" t="s">
        <v>2575</v>
      </c>
      <c r="AG649" s="1975"/>
      <c r="AH649" s="1975"/>
      <c r="AI649" s="1975"/>
      <c r="AJ649" s="1975"/>
      <c r="AK649" s="1975"/>
      <c r="AL649" s="1975"/>
      <c r="AN649" s="595"/>
      <c r="AO649" s="609" t="s">
        <v>161</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2546</v>
      </c>
      <c r="AP650" s="676">
        <v>4</v>
      </c>
    </row>
    <row r="651" spans="1:42" s="549" customFormat="1" ht="12.75" customHeight="1">
      <c r="B651" s="536"/>
      <c r="C651" s="927"/>
      <c r="D651" s="536" t="s">
        <v>2562</v>
      </c>
      <c r="E651" s="932"/>
      <c r="F651" s="932"/>
      <c r="G651" s="932"/>
      <c r="H651" s="1971" t="s">
        <v>935</v>
      </c>
      <c r="I651" s="1294"/>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2549</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2576</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2577</v>
      </c>
      <c r="AJ653" s="1999">
        <f>VLOOKUP($H$651,$AO$618:$AP$620,2,FALSE)</f>
        <v>0</v>
      </c>
      <c r="AK653" s="1264"/>
      <c r="AL653" s="593"/>
      <c r="AN653" s="595"/>
      <c r="AO653" s="609" t="s">
        <v>2578</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2579</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134</v>
      </c>
      <c r="E657" s="1976" t="s">
        <v>2580</v>
      </c>
      <c r="F657" s="1975"/>
      <c r="G657" s="1975"/>
      <c r="H657" s="1975"/>
      <c r="I657" s="1975"/>
      <c r="J657" s="1975"/>
      <c r="K657" s="1975"/>
      <c r="L657" s="1975"/>
      <c r="M657" s="1975"/>
      <c r="N657" s="1975"/>
      <c r="O657" s="1975"/>
      <c r="P657" s="1975"/>
      <c r="Q657" s="1975"/>
      <c r="R657" s="1975"/>
      <c r="S657" s="1975"/>
      <c r="T657" s="1975"/>
      <c r="U657" s="1975"/>
      <c r="V657" s="1975"/>
      <c r="W657" s="1975"/>
      <c r="X657" s="1975"/>
      <c r="Y657" s="1975"/>
      <c r="Z657" s="1975"/>
      <c r="AA657" s="1975"/>
      <c r="AB657" s="1975"/>
      <c r="AC657" s="1975"/>
      <c r="AD657" s="1975"/>
      <c r="AE657" s="536"/>
      <c r="AF657" s="2002" t="s">
        <v>2288</v>
      </c>
      <c r="AG657" s="1975"/>
      <c r="AH657" s="1975"/>
      <c r="AI657" s="1975"/>
      <c r="AJ657" s="1975"/>
      <c r="AK657" s="1975"/>
      <c r="AL657" s="1975"/>
      <c r="AN657" s="595"/>
    </row>
    <row r="658" spans="1:42" s="549" customFormat="1" ht="12.75" customHeight="1">
      <c r="B658" s="536"/>
      <c r="C658" s="536"/>
      <c r="D658" s="659"/>
      <c r="E658" s="1975"/>
      <c r="F658" s="1975"/>
      <c r="G658" s="1975"/>
      <c r="H658" s="1975"/>
      <c r="I658" s="1975"/>
      <c r="J658" s="1975"/>
      <c r="K658" s="1975"/>
      <c r="L658" s="1975"/>
      <c r="M658" s="1975"/>
      <c r="N658" s="1975"/>
      <c r="O658" s="1975"/>
      <c r="P658" s="1975"/>
      <c r="Q658" s="1975"/>
      <c r="R658" s="1975"/>
      <c r="S658" s="1975"/>
      <c r="T658" s="1975"/>
      <c r="U658" s="1975"/>
      <c r="V658" s="1975"/>
      <c r="W658" s="1975"/>
      <c r="X658" s="1975"/>
      <c r="Y658" s="1975"/>
      <c r="Z658" s="1975"/>
      <c r="AA658" s="1975"/>
      <c r="AB658" s="1975"/>
      <c r="AC658" s="1975"/>
      <c r="AD658" s="197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139</v>
      </c>
      <c r="E660" s="614" t="s">
        <v>2581</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002" t="s">
        <v>2575</v>
      </c>
      <c r="AG660" s="1975"/>
      <c r="AH660" s="1975"/>
      <c r="AI660" s="1975"/>
      <c r="AJ660" s="1975"/>
      <c r="AK660" s="1975"/>
      <c r="AL660" s="1975"/>
      <c r="AN660" s="595"/>
    </row>
    <row r="661" spans="1:42" s="549" customFormat="1" ht="12.75" customHeight="1">
      <c r="B661" s="536"/>
      <c r="C661" s="927"/>
      <c r="D661" s="659"/>
      <c r="E661" s="614" t="s">
        <v>2582</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2562</v>
      </c>
      <c r="E663" s="932"/>
      <c r="F663" s="932"/>
      <c r="G663" s="932"/>
      <c r="H663" s="1971" t="s">
        <v>139</v>
      </c>
      <c r="I663" s="1294"/>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2583</v>
      </c>
      <c r="AJ665" s="1999">
        <f>VLOOKUP(H663,AT618:AU620,2,FALSE)</f>
        <v>2</v>
      </c>
      <c r="AK665" s="1264"/>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2584</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2585</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134</v>
      </c>
      <c r="E670" s="1976" t="s">
        <v>2586</v>
      </c>
      <c r="F670" s="1975"/>
      <c r="G670" s="1975"/>
      <c r="H670" s="1975"/>
      <c r="I670" s="1975"/>
      <c r="J670" s="1975"/>
      <c r="K670" s="1975"/>
      <c r="L670" s="1975"/>
      <c r="M670" s="1975"/>
      <c r="N670" s="1975"/>
      <c r="O670" s="1975"/>
      <c r="P670" s="1975"/>
      <c r="Q670" s="1975"/>
      <c r="R670" s="1975"/>
      <c r="S670" s="1975"/>
      <c r="T670" s="1975"/>
      <c r="U670" s="1975"/>
      <c r="V670" s="1975"/>
      <c r="W670" s="1975"/>
      <c r="X670" s="1975"/>
      <c r="Y670" s="1975"/>
      <c r="Z670" s="1975"/>
      <c r="AA670" s="1975"/>
      <c r="AB670" s="1975"/>
      <c r="AC670" s="1975"/>
      <c r="AD670" s="536"/>
      <c r="AE670" s="536"/>
      <c r="AF670" s="2002" t="s">
        <v>2548</v>
      </c>
      <c r="AG670" s="1975"/>
      <c r="AH670" s="1975"/>
      <c r="AI670" s="1975"/>
      <c r="AJ670" s="1975"/>
      <c r="AK670" s="1975"/>
      <c r="AL670" s="1975"/>
      <c r="AN670" s="595"/>
    </row>
    <row r="671" spans="1:42" s="549" customFormat="1" ht="12.75" customHeight="1">
      <c r="B671" s="536"/>
      <c r="C671" s="539"/>
      <c r="D671" s="536"/>
      <c r="E671" s="1975"/>
      <c r="F671" s="1975"/>
      <c r="G671" s="1975"/>
      <c r="H671" s="1975"/>
      <c r="I671" s="1975"/>
      <c r="J671" s="1975"/>
      <c r="K671" s="1975"/>
      <c r="L671" s="1975"/>
      <c r="M671" s="1975"/>
      <c r="N671" s="1975"/>
      <c r="O671" s="1975"/>
      <c r="P671" s="1975"/>
      <c r="Q671" s="1975"/>
      <c r="R671" s="1975"/>
      <c r="S671" s="1975"/>
      <c r="T671" s="1975"/>
      <c r="U671" s="1975"/>
      <c r="V671" s="1975"/>
      <c r="W671" s="1975"/>
      <c r="X671" s="1975"/>
      <c r="Y671" s="1975"/>
      <c r="Z671" s="1975"/>
      <c r="AA671" s="1975"/>
      <c r="AB671" s="1975"/>
      <c r="AC671" s="1975"/>
      <c r="AD671" s="536"/>
      <c r="AE671" s="536"/>
      <c r="AF671" s="536"/>
      <c r="AG671" s="536"/>
      <c r="AH671" s="536"/>
      <c r="AI671" s="536"/>
      <c r="AJ671" s="536"/>
      <c r="AK671" s="536"/>
      <c r="AL671" s="536"/>
      <c r="AN671" s="595"/>
    </row>
    <row r="672" spans="1:42" s="549" customFormat="1" ht="12.75" customHeight="1">
      <c r="B672" s="536"/>
      <c r="C672" s="539"/>
      <c r="D672" s="659"/>
      <c r="E672" s="1975"/>
      <c r="F672" s="1975"/>
      <c r="G672" s="1975"/>
      <c r="H672" s="1975"/>
      <c r="I672" s="1975"/>
      <c r="J672" s="1975"/>
      <c r="K672" s="1975"/>
      <c r="L672" s="1975"/>
      <c r="M672" s="1975"/>
      <c r="N672" s="1975"/>
      <c r="O672" s="1975"/>
      <c r="P672" s="1975"/>
      <c r="Q672" s="1975"/>
      <c r="R672" s="1975"/>
      <c r="S672" s="1975"/>
      <c r="T672" s="1975"/>
      <c r="U672" s="1975"/>
      <c r="V672" s="1975"/>
      <c r="W672" s="1975"/>
      <c r="X672" s="1975"/>
      <c r="Y672" s="1975"/>
      <c r="Z672" s="1975"/>
      <c r="AA672" s="1975"/>
      <c r="AB672" s="1975"/>
      <c r="AC672" s="197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139</v>
      </c>
      <c r="E674" s="1976" t="s">
        <v>2587</v>
      </c>
      <c r="F674" s="1975"/>
      <c r="G674" s="1975"/>
      <c r="H674" s="1975"/>
      <c r="I674" s="1975"/>
      <c r="J674" s="1975"/>
      <c r="K674" s="1975"/>
      <c r="L674" s="1975"/>
      <c r="M674" s="1975"/>
      <c r="N674" s="1975"/>
      <c r="O674" s="1975"/>
      <c r="P674" s="1975"/>
      <c r="Q674" s="1975"/>
      <c r="R674" s="1975"/>
      <c r="S674" s="1975"/>
      <c r="T674" s="1975"/>
      <c r="U674" s="1975"/>
      <c r="V674" s="1975"/>
      <c r="W674" s="1975"/>
      <c r="X674" s="1975"/>
      <c r="Y674" s="1975"/>
      <c r="Z674" s="1975"/>
      <c r="AA674" s="1975"/>
      <c r="AB674" s="1975"/>
      <c r="AC674" s="1975"/>
      <c r="AD674" s="536"/>
      <c r="AE674" s="536"/>
      <c r="AF674" s="2002" t="s">
        <v>2554</v>
      </c>
      <c r="AG674" s="1975"/>
      <c r="AH674" s="1975"/>
      <c r="AI674" s="1975"/>
      <c r="AJ674" s="1975"/>
      <c r="AK674" s="1975"/>
      <c r="AL674" s="1975"/>
      <c r="AN674" s="595"/>
    </row>
    <row r="675" spans="1:42" s="549" customFormat="1" ht="12.75" customHeight="1">
      <c r="B675" s="536"/>
      <c r="C675" s="539"/>
      <c r="D675" s="536"/>
      <c r="E675" s="1975"/>
      <c r="F675" s="1975"/>
      <c r="G675" s="1975"/>
      <c r="H675" s="1975"/>
      <c r="I675" s="1975"/>
      <c r="J675" s="1975"/>
      <c r="K675" s="1975"/>
      <c r="L675" s="1975"/>
      <c r="M675" s="1975"/>
      <c r="N675" s="1975"/>
      <c r="O675" s="1975"/>
      <c r="P675" s="1975"/>
      <c r="Q675" s="1975"/>
      <c r="R675" s="1975"/>
      <c r="S675" s="1975"/>
      <c r="T675" s="1975"/>
      <c r="U675" s="1975"/>
      <c r="V675" s="1975"/>
      <c r="W675" s="1975"/>
      <c r="X675" s="1975"/>
      <c r="Y675" s="1975"/>
      <c r="Z675" s="1975"/>
      <c r="AA675" s="1975"/>
      <c r="AB675" s="1975"/>
      <c r="AC675" s="1975"/>
      <c r="AD675" s="536"/>
      <c r="AE675" s="536"/>
      <c r="AF675" s="536"/>
      <c r="AG675" s="536"/>
      <c r="AH675" s="536"/>
      <c r="AI675" s="536"/>
      <c r="AJ675" s="536"/>
      <c r="AK675" s="536"/>
      <c r="AL675" s="536"/>
      <c r="AN675" s="595"/>
    </row>
    <row r="676" spans="1:42" s="549" customFormat="1" ht="15" customHeight="1">
      <c r="B676" s="536"/>
      <c r="C676" s="539"/>
      <c r="D676" s="659"/>
      <c r="E676" s="1975"/>
      <c r="F676" s="1975"/>
      <c r="G676" s="1975"/>
      <c r="H676" s="1975"/>
      <c r="I676" s="1975"/>
      <c r="J676" s="1975"/>
      <c r="K676" s="1975"/>
      <c r="L676" s="1975"/>
      <c r="M676" s="1975"/>
      <c r="N676" s="1975"/>
      <c r="O676" s="1975"/>
      <c r="P676" s="1975"/>
      <c r="Q676" s="1975"/>
      <c r="R676" s="1975"/>
      <c r="S676" s="1975"/>
      <c r="T676" s="1975"/>
      <c r="U676" s="1975"/>
      <c r="V676" s="1975"/>
      <c r="W676" s="1975"/>
      <c r="X676" s="1975"/>
      <c r="Y676" s="1975"/>
      <c r="Z676" s="1975"/>
      <c r="AA676" s="1975"/>
      <c r="AB676" s="1975"/>
      <c r="AC676" s="197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161</v>
      </c>
      <c r="E678" s="1976" t="s">
        <v>2588</v>
      </c>
      <c r="F678" s="1975"/>
      <c r="G678" s="1975"/>
      <c r="H678" s="1975"/>
      <c r="I678" s="1975"/>
      <c r="J678" s="1975"/>
      <c r="K678" s="1975"/>
      <c r="L678" s="1975"/>
      <c r="M678" s="1975"/>
      <c r="N678" s="1975"/>
      <c r="O678" s="1975"/>
      <c r="P678" s="1975"/>
      <c r="Q678" s="1975"/>
      <c r="R678" s="1975"/>
      <c r="S678" s="1975"/>
      <c r="T678" s="1975"/>
      <c r="U678" s="1975"/>
      <c r="V678" s="1975"/>
      <c r="W678" s="1975"/>
      <c r="X678" s="1975"/>
      <c r="Y678" s="1975"/>
      <c r="Z678" s="1975"/>
      <c r="AA678" s="1975"/>
      <c r="AB678" s="1975"/>
      <c r="AC678" s="1975"/>
      <c r="AD678" s="536"/>
      <c r="AE678" s="536"/>
      <c r="AF678" s="2002" t="s">
        <v>2288</v>
      </c>
      <c r="AG678" s="1975"/>
      <c r="AH678" s="1975"/>
      <c r="AI678" s="1975"/>
      <c r="AJ678" s="1975"/>
      <c r="AK678" s="1975"/>
      <c r="AL678" s="1975"/>
      <c r="AN678" s="595"/>
    </row>
    <row r="679" spans="1:42" s="549" customFormat="1" ht="12.75" customHeight="1">
      <c r="B679" s="536"/>
      <c r="C679" s="927"/>
      <c r="D679" s="536"/>
      <c r="E679" s="1975"/>
      <c r="F679" s="1975"/>
      <c r="G679" s="1975"/>
      <c r="H679" s="1975"/>
      <c r="I679" s="1975"/>
      <c r="J679" s="1975"/>
      <c r="K679" s="1975"/>
      <c r="L679" s="1975"/>
      <c r="M679" s="1975"/>
      <c r="N679" s="1975"/>
      <c r="O679" s="1975"/>
      <c r="P679" s="1975"/>
      <c r="Q679" s="1975"/>
      <c r="R679" s="1975"/>
      <c r="S679" s="1975"/>
      <c r="T679" s="1975"/>
      <c r="U679" s="1975"/>
      <c r="V679" s="1975"/>
      <c r="W679" s="1975"/>
      <c r="X679" s="1975"/>
      <c r="Y679" s="1975"/>
      <c r="Z679" s="1975"/>
      <c r="AA679" s="1975"/>
      <c r="AB679" s="1975"/>
      <c r="AC679" s="1975"/>
      <c r="AD679" s="536"/>
      <c r="AE679" s="2002"/>
      <c r="AF679" s="1975"/>
      <c r="AG679" s="1975"/>
      <c r="AH679" s="1975"/>
      <c r="AI679" s="1975"/>
      <c r="AJ679" s="1975"/>
      <c r="AK679" s="1975"/>
      <c r="AL679" s="592"/>
      <c r="AN679" s="595"/>
      <c r="AO679" s="549" t="s">
        <v>935</v>
      </c>
      <c r="AP679" s="669">
        <v>0</v>
      </c>
    </row>
    <row r="680" spans="1:42" s="549" customFormat="1" ht="12.75" customHeight="1">
      <c r="A680" s="675"/>
      <c r="B680" s="536"/>
      <c r="C680" s="536"/>
      <c r="D680" s="659"/>
      <c r="E680" s="1975"/>
      <c r="F680" s="1975"/>
      <c r="G680" s="1975"/>
      <c r="H680" s="1975"/>
      <c r="I680" s="1975"/>
      <c r="J680" s="1975"/>
      <c r="K680" s="1975"/>
      <c r="L680" s="1975"/>
      <c r="M680" s="1975"/>
      <c r="N680" s="1975"/>
      <c r="O680" s="1975"/>
      <c r="P680" s="1975"/>
      <c r="Q680" s="1975"/>
      <c r="R680" s="1975"/>
      <c r="S680" s="1975"/>
      <c r="T680" s="1975"/>
      <c r="U680" s="1975"/>
      <c r="V680" s="1975"/>
      <c r="W680" s="1975"/>
      <c r="X680" s="1975"/>
      <c r="Y680" s="1975"/>
      <c r="Z680" s="1975"/>
      <c r="AA680" s="1975"/>
      <c r="AB680" s="1975"/>
      <c r="AC680" s="1975"/>
      <c r="AD680" s="536"/>
      <c r="AE680" s="536"/>
      <c r="AF680" s="536"/>
      <c r="AG680" s="536"/>
      <c r="AH680" s="536"/>
      <c r="AI680" s="536"/>
      <c r="AJ680" s="536"/>
      <c r="AK680" s="536"/>
      <c r="AL680" s="536"/>
      <c r="AN680" s="595"/>
      <c r="AO680" s="609" t="s">
        <v>134</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139</v>
      </c>
      <c r="AP681" s="549">
        <v>2</v>
      </c>
    </row>
    <row r="682" spans="1:42" s="549" customFormat="1" ht="12.75" customHeight="1">
      <c r="A682" s="666"/>
      <c r="B682" s="536"/>
      <c r="C682" s="943"/>
      <c r="D682" s="659" t="s">
        <v>2546</v>
      </c>
      <c r="E682" s="1976" t="s">
        <v>2589</v>
      </c>
      <c r="F682" s="1975"/>
      <c r="G682" s="1975"/>
      <c r="H682" s="1975"/>
      <c r="I682" s="1975"/>
      <c r="J682" s="1975"/>
      <c r="K682" s="1975"/>
      <c r="L682" s="1975"/>
      <c r="M682" s="1975"/>
      <c r="N682" s="1975"/>
      <c r="O682" s="1975"/>
      <c r="P682" s="1975"/>
      <c r="Q682" s="1975"/>
      <c r="R682" s="1975"/>
      <c r="S682" s="1975"/>
      <c r="T682" s="1975"/>
      <c r="U682" s="1975"/>
      <c r="V682" s="1975"/>
      <c r="W682" s="1975"/>
      <c r="X682" s="1975"/>
      <c r="Y682" s="1975"/>
      <c r="Z682" s="1975"/>
      <c r="AA682" s="1975"/>
      <c r="AB682" s="1975"/>
      <c r="AC682" s="1975"/>
      <c r="AD682" s="536"/>
      <c r="AE682" s="536"/>
      <c r="AF682" s="2002" t="s">
        <v>2554</v>
      </c>
      <c r="AG682" s="1975"/>
      <c r="AH682" s="1975"/>
      <c r="AI682" s="1975"/>
      <c r="AJ682" s="1975"/>
      <c r="AK682" s="1975"/>
      <c r="AL682" s="1975"/>
      <c r="AN682" s="595"/>
    </row>
    <row r="683" spans="1:42" s="549" customFormat="1" ht="12.75" customHeight="1">
      <c r="A683" s="666"/>
      <c r="B683" s="536"/>
      <c r="C683" s="943"/>
      <c r="D683" s="659"/>
      <c r="E683" s="1975"/>
      <c r="F683" s="1975"/>
      <c r="G683" s="1975"/>
      <c r="H683" s="1975"/>
      <c r="I683" s="1975"/>
      <c r="J683" s="1975"/>
      <c r="K683" s="1975"/>
      <c r="L683" s="1975"/>
      <c r="M683" s="1975"/>
      <c r="N683" s="1975"/>
      <c r="O683" s="1975"/>
      <c r="P683" s="1975"/>
      <c r="Q683" s="1975"/>
      <c r="R683" s="1975"/>
      <c r="S683" s="1975"/>
      <c r="T683" s="1975"/>
      <c r="U683" s="1975"/>
      <c r="V683" s="1975"/>
      <c r="W683" s="1975"/>
      <c r="X683" s="1975"/>
      <c r="Y683" s="1975"/>
      <c r="Z683" s="1975"/>
      <c r="AA683" s="1975"/>
      <c r="AB683" s="1975"/>
      <c r="AC683" s="1975"/>
      <c r="AD683" s="536"/>
      <c r="AE683" s="592"/>
      <c r="AF683" s="592"/>
      <c r="AG683" s="592"/>
      <c r="AH683" s="592"/>
      <c r="AI683" s="592"/>
      <c r="AJ683" s="592"/>
      <c r="AK683" s="592"/>
      <c r="AL683" s="592"/>
      <c r="AM683" s="594"/>
      <c r="AN683" s="595"/>
    </row>
    <row r="684" spans="1:42" s="549" customFormat="1" ht="12.75" customHeight="1">
      <c r="A684" s="666"/>
      <c r="B684" s="536"/>
      <c r="C684" s="943"/>
      <c r="D684" s="659"/>
      <c r="E684" s="1975"/>
      <c r="F684" s="1975"/>
      <c r="G684" s="1975"/>
      <c r="H684" s="1975"/>
      <c r="I684" s="1975"/>
      <c r="J684" s="1975"/>
      <c r="K684" s="1975"/>
      <c r="L684" s="1975"/>
      <c r="M684" s="1975"/>
      <c r="N684" s="1975"/>
      <c r="O684" s="1975"/>
      <c r="P684" s="1975"/>
      <c r="Q684" s="1975"/>
      <c r="R684" s="1975"/>
      <c r="S684" s="1975"/>
      <c r="T684" s="1975"/>
      <c r="U684" s="1975"/>
      <c r="V684" s="1975"/>
      <c r="W684" s="1975"/>
      <c r="X684" s="1975"/>
      <c r="Y684" s="1975"/>
      <c r="Z684" s="1975"/>
      <c r="AA684" s="1975"/>
      <c r="AB684" s="1975"/>
      <c r="AC684" s="197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2549</v>
      </c>
      <c r="E686" s="1976" t="s">
        <v>2590</v>
      </c>
      <c r="F686" s="1975"/>
      <c r="G686" s="1975"/>
      <c r="H686" s="1975"/>
      <c r="I686" s="1975"/>
      <c r="J686" s="1975"/>
      <c r="K686" s="1975"/>
      <c r="L686" s="1975"/>
      <c r="M686" s="1975"/>
      <c r="N686" s="1975"/>
      <c r="O686" s="1975"/>
      <c r="P686" s="1975"/>
      <c r="Q686" s="1975"/>
      <c r="R686" s="1975"/>
      <c r="S686" s="1975"/>
      <c r="T686" s="1975"/>
      <c r="U686" s="1975"/>
      <c r="V686" s="1975"/>
      <c r="W686" s="1975"/>
      <c r="X686" s="1975"/>
      <c r="Y686" s="1975"/>
      <c r="Z686" s="1975"/>
      <c r="AA686" s="1975"/>
      <c r="AB686" s="1975"/>
      <c r="AC686" s="1975"/>
      <c r="AD686" s="536"/>
      <c r="AE686" s="536"/>
      <c r="AF686" s="2002" t="s">
        <v>2288</v>
      </c>
      <c r="AG686" s="1975"/>
      <c r="AH686" s="1975"/>
      <c r="AI686" s="1975"/>
      <c r="AJ686" s="1975"/>
      <c r="AK686" s="1975"/>
      <c r="AL686" s="1975"/>
      <c r="AM686" s="594"/>
      <c r="AN686" s="595"/>
    </row>
    <row r="687" spans="1:42" s="549" customFormat="1" ht="12.75" customHeight="1">
      <c r="B687" s="536"/>
      <c r="C687" s="927"/>
      <c r="D687" s="659"/>
      <c r="E687" s="1975"/>
      <c r="F687" s="1975"/>
      <c r="G687" s="1975"/>
      <c r="H687" s="1975"/>
      <c r="I687" s="1975"/>
      <c r="J687" s="1975"/>
      <c r="K687" s="1975"/>
      <c r="L687" s="1975"/>
      <c r="M687" s="1975"/>
      <c r="N687" s="1975"/>
      <c r="O687" s="1975"/>
      <c r="P687" s="1975"/>
      <c r="Q687" s="1975"/>
      <c r="R687" s="1975"/>
      <c r="S687" s="1975"/>
      <c r="T687" s="1975"/>
      <c r="U687" s="1975"/>
      <c r="V687" s="1975"/>
      <c r="W687" s="1975"/>
      <c r="X687" s="1975"/>
      <c r="Y687" s="1975"/>
      <c r="Z687" s="1975"/>
      <c r="AA687" s="1975"/>
      <c r="AB687" s="1975"/>
      <c r="AC687" s="1975"/>
      <c r="AD687" s="536"/>
      <c r="AE687" s="536"/>
      <c r="AF687" s="536"/>
      <c r="AG687" s="536"/>
      <c r="AH687" s="536"/>
      <c r="AI687" s="536"/>
      <c r="AJ687" s="536"/>
      <c r="AK687" s="536"/>
      <c r="AL687" s="536"/>
      <c r="AM687" s="594"/>
      <c r="AN687" s="595"/>
    </row>
    <row r="688" spans="1:42" s="549" customFormat="1" ht="12.75" customHeight="1">
      <c r="B688" s="536"/>
      <c r="C688" s="927"/>
      <c r="D688" s="659"/>
      <c r="E688" s="1975"/>
      <c r="F688" s="1975"/>
      <c r="G688" s="1975"/>
      <c r="H688" s="1975"/>
      <c r="I688" s="1975"/>
      <c r="J688" s="1975"/>
      <c r="K688" s="1975"/>
      <c r="L688" s="1975"/>
      <c r="M688" s="1975"/>
      <c r="N688" s="1975"/>
      <c r="O688" s="1975"/>
      <c r="P688" s="1975"/>
      <c r="Q688" s="1975"/>
      <c r="R688" s="1975"/>
      <c r="S688" s="1975"/>
      <c r="T688" s="1975"/>
      <c r="U688" s="1975"/>
      <c r="V688" s="1975"/>
      <c r="W688" s="1975"/>
      <c r="X688" s="1975"/>
      <c r="Y688" s="1975"/>
      <c r="Z688" s="1975"/>
      <c r="AA688" s="1975"/>
      <c r="AB688" s="1975"/>
      <c r="AC688" s="197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2576</v>
      </c>
      <c r="E690" s="1976" t="s">
        <v>2591</v>
      </c>
      <c r="F690" s="1975"/>
      <c r="G690" s="1975"/>
      <c r="H690" s="1975"/>
      <c r="I690" s="1975"/>
      <c r="J690" s="1975"/>
      <c r="K690" s="1975"/>
      <c r="L690" s="1975"/>
      <c r="M690" s="1975"/>
      <c r="N690" s="1975"/>
      <c r="O690" s="1975"/>
      <c r="P690" s="1975"/>
      <c r="Q690" s="1975"/>
      <c r="R690" s="1975"/>
      <c r="S690" s="1975"/>
      <c r="T690" s="1975"/>
      <c r="U690" s="1975"/>
      <c r="V690" s="1975"/>
      <c r="W690" s="1975"/>
      <c r="X690" s="1975"/>
      <c r="Y690" s="1975"/>
      <c r="Z690" s="1975"/>
      <c r="AA690" s="1975"/>
      <c r="AB690" s="1975"/>
      <c r="AC690" s="1975"/>
      <c r="AD690" s="536"/>
      <c r="AE690" s="536"/>
      <c r="AF690" s="2002" t="s">
        <v>2575</v>
      </c>
      <c r="AG690" s="1975"/>
      <c r="AH690" s="1975"/>
      <c r="AI690" s="1975"/>
      <c r="AJ690" s="1975"/>
      <c r="AK690" s="1975"/>
      <c r="AL690" s="1975"/>
      <c r="AM690" s="594"/>
      <c r="AN690" s="595"/>
    </row>
    <row r="691" spans="1:50" s="549" customFormat="1" ht="12.75" customHeight="1">
      <c r="A691" s="675"/>
      <c r="B691" s="536"/>
      <c r="C691" s="927"/>
      <c r="D691" s="659"/>
      <c r="E691" s="1975"/>
      <c r="F691" s="1975"/>
      <c r="G691" s="1975"/>
      <c r="H691" s="1975"/>
      <c r="I691" s="1975"/>
      <c r="J691" s="1975"/>
      <c r="K691" s="1975"/>
      <c r="L691" s="1975"/>
      <c r="M691" s="1975"/>
      <c r="N691" s="1975"/>
      <c r="O691" s="1975"/>
      <c r="P691" s="1975"/>
      <c r="Q691" s="1975"/>
      <c r="R691" s="1975"/>
      <c r="S691" s="1975"/>
      <c r="T691" s="1975"/>
      <c r="U691" s="1975"/>
      <c r="V691" s="1975"/>
      <c r="W691" s="1975"/>
      <c r="X691" s="1975"/>
      <c r="Y691" s="1975"/>
      <c r="Z691" s="1975"/>
      <c r="AA691" s="1975"/>
      <c r="AB691" s="1975"/>
      <c r="AC691" s="1975"/>
      <c r="AD691" s="536"/>
      <c r="AE691" s="536"/>
      <c r="AF691" s="592"/>
      <c r="AG691" s="592"/>
      <c r="AH691" s="592"/>
      <c r="AI691" s="592"/>
      <c r="AJ691" s="592"/>
      <c r="AK691" s="592"/>
      <c r="AL691" s="592"/>
      <c r="AM691" s="594"/>
      <c r="AN691" s="595"/>
    </row>
    <row r="692" spans="1:50" s="549" customFormat="1" ht="12.75" customHeight="1">
      <c r="A692" s="675"/>
      <c r="B692" s="536"/>
      <c r="C692" s="927"/>
      <c r="D692" s="659"/>
      <c r="E692" s="1975"/>
      <c r="F692" s="1975"/>
      <c r="G692" s="1975"/>
      <c r="H692" s="1975"/>
      <c r="I692" s="1975"/>
      <c r="J692" s="1975"/>
      <c r="K692" s="1975"/>
      <c r="L692" s="1975"/>
      <c r="M692" s="1975"/>
      <c r="N692" s="1975"/>
      <c r="O692" s="1975"/>
      <c r="P692" s="1975"/>
      <c r="Q692" s="1975"/>
      <c r="R692" s="1975"/>
      <c r="S692" s="1975"/>
      <c r="T692" s="1975"/>
      <c r="U692" s="1975"/>
      <c r="V692" s="1975"/>
      <c r="W692" s="1975"/>
      <c r="X692" s="1975"/>
      <c r="Y692" s="1975"/>
      <c r="Z692" s="1975"/>
      <c r="AA692" s="1975"/>
      <c r="AB692" s="1975"/>
      <c r="AC692" s="197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935</v>
      </c>
      <c r="AP693" s="635">
        <v>0</v>
      </c>
    </row>
    <row r="694" spans="1:50" s="549" customFormat="1" ht="12.75" customHeight="1">
      <c r="A694" s="675"/>
      <c r="B694" s="536"/>
      <c r="C694" s="927"/>
      <c r="D694" s="659" t="s">
        <v>2578</v>
      </c>
      <c r="E694" s="1976" t="s">
        <v>2592</v>
      </c>
      <c r="F694" s="1975"/>
      <c r="G694" s="1975"/>
      <c r="H694" s="1975"/>
      <c r="I694" s="1975"/>
      <c r="J694" s="1975"/>
      <c r="K694" s="1975"/>
      <c r="L694" s="1975"/>
      <c r="M694" s="1975"/>
      <c r="N694" s="1975"/>
      <c r="O694" s="1975"/>
      <c r="P694" s="1975"/>
      <c r="Q694" s="1975"/>
      <c r="R694" s="1975"/>
      <c r="S694" s="1975"/>
      <c r="T694" s="1975"/>
      <c r="U694" s="1975"/>
      <c r="V694" s="1975"/>
      <c r="W694" s="1975"/>
      <c r="X694" s="1975"/>
      <c r="Y694" s="1975"/>
      <c r="Z694" s="1975"/>
      <c r="AA694" s="1975"/>
      <c r="AB694" s="1975"/>
      <c r="AC694" s="1975"/>
      <c r="AD694" s="536"/>
      <c r="AE694" s="536"/>
      <c r="AF694" s="2002" t="s">
        <v>2593</v>
      </c>
      <c r="AG694" s="1975"/>
      <c r="AH694" s="1975"/>
      <c r="AI694" s="1975"/>
      <c r="AJ694" s="1975"/>
      <c r="AK694" s="1975"/>
      <c r="AL694" s="1975"/>
      <c r="AM694" s="594"/>
      <c r="AN694" s="595"/>
      <c r="AO694" s="609" t="s">
        <v>134</v>
      </c>
      <c r="AP694" s="549">
        <v>3</v>
      </c>
    </row>
    <row r="695" spans="1:50" s="549" customFormat="1" ht="12.75" customHeight="1">
      <c r="A695" s="675"/>
      <c r="B695" s="536"/>
      <c r="C695" s="927"/>
      <c r="D695" s="659"/>
      <c r="E695" s="1975"/>
      <c r="F695" s="1975"/>
      <c r="G695" s="1975"/>
      <c r="H695" s="1975"/>
      <c r="I695" s="1975"/>
      <c r="J695" s="1975"/>
      <c r="K695" s="1975"/>
      <c r="L695" s="1975"/>
      <c r="M695" s="1975"/>
      <c r="N695" s="1975"/>
      <c r="O695" s="1975"/>
      <c r="P695" s="1975"/>
      <c r="Q695" s="1975"/>
      <c r="R695" s="1975"/>
      <c r="S695" s="1975"/>
      <c r="T695" s="1975"/>
      <c r="U695" s="1975"/>
      <c r="V695" s="1975"/>
      <c r="W695" s="1975"/>
      <c r="X695" s="1975"/>
      <c r="Y695" s="1975"/>
      <c r="Z695" s="1975"/>
      <c r="AA695" s="1975"/>
      <c r="AB695" s="1975"/>
      <c r="AC695" s="1975"/>
      <c r="AD695" s="536"/>
      <c r="AE695" s="536"/>
      <c r="AF695" s="592"/>
      <c r="AG695" s="592"/>
      <c r="AH695" s="592"/>
      <c r="AI695" s="592"/>
      <c r="AJ695" s="592"/>
      <c r="AK695" s="592"/>
      <c r="AL695" s="592"/>
      <c r="AM695" s="594"/>
      <c r="AN695" s="595"/>
      <c r="AO695" s="609" t="s">
        <v>139</v>
      </c>
      <c r="AP695" s="549">
        <v>2</v>
      </c>
    </row>
    <row r="696" spans="1:50" s="549" customFormat="1" ht="12.75" customHeight="1">
      <c r="A696" s="675"/>
      <c r="B696" s="536"/>
      <c r="C696" s="927"/>
      <c r="D696" s="659"/>
      <c r="E696" s="1975"/>
      <c r="F696" s="1975"/>
      <c r="G696" s="1975"/>
      <c r="H696" s="1975"/>
      <c r="I696" s="1975"/>
      <c r="J696" s="1975"/>
      <c r="K696" s="1975"/>
      <c r="L696" s="1975"/>
      <c r="M696" s="1975"/>
      <c r="N696" s="1975"/>
      <c r="O696" s="1975"/>
      <c r="P696" s="1975"/>
      <c r="Q696" s="1975"/>
      <c r="R696" s="1975"/>
      <c r="S696" s="1975"/>
      <c r="T696" s="1975"/>
      <c r="U696" s="1975"/>
      <c r="V696" s="1975"/>
      <c r="W696" s="1975"/>
      <c r="X696" s="1975"/>
      <c r="Y696" s="1975"/>
      <c r="Z696" s="1975"/>
      <c r="AA696" s="1975"/>
      <c r="AB696" s="1975"/>
      <c r="AC696" s="197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2562</v>
      </c>
      <c r="E698" s="932"/>
      <c r="F698" s="932"/>
      <c r="G698" s="932"/>
      <c r="H698" s="1971" t="s">
        <v>935</v>
      </c>
      <c r="I698" s="1294"/>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2594</v>
      </c>
      <c r="AJ700" s="1999">
        <f>VLOOKUP($H$698,$AO$646:$AP$653,2,FALSE)</f>
        <v>0</v>
      </c>
      <c r="AK700" s="1264"/>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2595</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2596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2597</v>
      </c>
      <c r="AX703" s="1144">
        <f>Application!G761</f>
        <v>64</v>
      </c>
    </row>
    <row r="704" spans="1:50" s="549" customFormat="1" ht="12.75" customHeight="1">
      <c r="A704" s="675"/>
      <c r="B704" s="536"/>
      <c r="C704" s="944"/>
      <c r="D704" s="659" t="s">
        <v>134</v>
      </c>
      <c r="E704" s="2083" t="s">
        <v>2598</v>
      </c>
      <c r="F704" s="1975"/>
      <c r="G704" s="1975"/>
      <c r="H704" s="1975"/>
      <c r="I704" s="1975"/>
      <c r="J704" s="1975"/>
      <c r="K704" s="1975"/>
      <c r="L704" s="1975"/>
      <c r="M704" s="1975"/>
      <c r="N704" s="1975"/>
      <c r="O704" s="1975"/>
      <c r="P704" s="1975"/>
      <c r="Q704" s="1975"/>
      <c r="R704" s="1975"/>
      <c r="S704" s="1975"/>
      <c r="T704" s="1975"/>
      <c r="U704" s="1975"/>
      <c r="V704" s="1975"/>
      <c r="W704" s="1975"/>
      <c r="X704" s="1975"/>
      <c r="Y704" s="1975"/>
      <c r="Z704" s="1975"/>
      <c r="AA704" s="1975"/>
      <c r="AB704" s="1975"/>
      <c r="AC704" s="536"/>
      <c r="AD704" s="536"/>
      <c r="AE704" s="536"/>
      <c r="AF704" s="2002" t="s">
        <v>2288</v>
      </c>
      <c r="AG704" s="1975"/>
      <c r="AH704" s="1975"/>
      <c r="AI704" s="1975"/>
      <c r="AJ704" s="1975"/>
      <c r="AK704" s="1975"/>
      <c r="AL704" s="1975"/>
      <c r="AN704" s="595"/>
      <c r="AW704" s="22" t="s">
        <v>2599</v>
      </c>
      <c r="AX704" s="549">
        <f>Application!DE761</f>
        <v>28</v>
      </c>
    </row>
    <row r="705" spans="1:51" s="549" customFormat="1" ht="12.75" customHeight="1">
      <c r="A705" s="675"/>
      <c r="B705" s="536"/>
      <c r="C705" s="944"/>
      <c r="D705" s="659"/>
      <c r="E705" s="1975"/>
      <c r="F705" s="1975"/>
      <c r="G705" s="1975"/>
      <c r="H705" s="1975"/>
      <c r="I705" s="1975"/>
      <c r="J705" s="1975"/>
      <c r="K705" s="1975"/>
      <c r="L705" s="1975"/>
      <c r="M705" s="1975"/>
      <c r="N705" s="1975"/>
      <c r="O705" s="1975"/>
      <c r="P705" s="1975"/>
      <c r="Q705" s="1975"/>
      <c r="R705" s="1975"/>
      <c r="S705" s="1975"/>
      <c r="T705" s="1975"/>
      <c r="U705" s="1975"/>
      <c r="V705" s="1975"/>
      <c r="W705" s="1975"/>
      <c r="X705" s="1975"/>
      <c r="Y705" s="1975"/>
      <c r="Z705" s="1975"/>
      <c r="AA705" s="1975"/>
      <c r="AB705" s="1975"/>
      <c r="AC705" s="536"/>
      <c r="AD705" s="536"/>
      <c r="AE705" s="536"/>
      <c r="AF705" s="536"/>
      <c r="AG705" s="536"/>
      <c r="AH705" s="536"/>
      <c r="AI705" s="536"/>
      <c r="AJ705" s="536"/>
      <c r="AK705" s="536"/>
      <c r="AL705" s="536"/>
      <c r="AN705" s="595"/>
      <c r="AW705" s="22" t="s">
        <v>2600</v>
      </c>
      <c r="AX705" s="549">
        <f>Application!DJ761</f>
        <v>6</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2601</v>
      </c>
      <c r="AX706" s="549">
        <f>Application!DO761</f>
        <v>0</v>
      </c>
    </row>
    <row r="707" spans="1:51" s="549" customFormat="1" ht="12.75" customHeight="1">
      <c r="B707" s="536"/>
      <c r="C707" s="927"/>
      <c r="D707" s="659" t="s">
        <v>139</v>
      </c>
      <c r="E707" s="1976" t="s">
        <v>2602</v>
      </c>
      <c r="F707" s="1975"/>
      <c r="G707" s="1975"/>
      <c r="H707" s="1975"/>
      <c r="I707" s="1975"/>
      <c r="J707" s="1975"/>
      <c r="K707" s="1975"/>
      <c r="L707" s="1975"/>
      <c r="M707" s="1975"/>
      <c r="N707" s="1975"/>
      <c r="O707" s="1975"/>
      <c r="P707" s="1975"/>
      <c r="Q707" s="1975"/>
      <c r="R707" s="1975"/>
      <c r="S707" s="1975"/>
      <c r="T707" s="1975"/>
      <c r="U707" s="1975"/>
      <c r="V707" s="1975"/>
      <c r="W707" s="1975"/>
      <c r="X707" s="1975"/>
      <c r="Y707" s="1975"/>
      <c r="Z707" s="1975"/>
      <c r="AA707" s="1975"/>
      <c r="AB707" s="1975"/>
      <c r="AC707" s="536"/>
      <c r="AD707" s="536"/>
      <c r="AE707" s="536"/>
      <c r="AF707" s="2002" t="s">
        <v>2288</v>
      </c>
      <c r="AG707" s="1975"/>
      <c r="AH707" s="1975"/>
      <c r="AI707" s="1975"/>
      <c r="AJ707" s="1975"/>
      <c r="AK707" s="1975"/>
      <c r="AL707" s="1975"/>
      <c r="AN707" s="595"/>
      <c r="AW707" s="22" t="s">
        <v>2603</v>
      </c>
      <c r="AX707" s="549">
        <f>AX704+AX705+AX706</f>
        <v>34</v>
      </c>
    </row>
    <row r="708" spans="1:51" s="549" customFormat="1" ht="12.75" customHeight="1">
      <c r="B708" s="536"/>
      <c r="C708" s="936"/>
      <c r="D708" s="659"/>
      <c r="E708" s="1975"/>
      <c r="F708" s="1975"/>
      <c r="G708" s="1975"/>
      <c r="H708" s="1975"/>
      <c r="I708" s="1975"/>
      <c r="J708" s="1975"/>
      <c r="K708" s="1975"/>
      <c r="L708" s="1975"/>
      <c r="M708" s="1975"/>
      <c r="N708" s="1975"/>
      <c r="O708" s="1975"/>
      <c r="P708" s="1975"/>
      <c r="Q708" s="1975"/>
      <c r="R708" s="1975"/>
      <c r="S708" s="1975"/>
      <c r="T708" s="1975"/>
      <c r="U708" s="1975"/>
      <c r="V708" s="1975"/>
      <c r="W708" s="1975"/>
      <c r="X708" s="1975"/>
      <c r="Y708" s="1975"/>
      <c r="Z708" s="1975"/>
      <c r="AA708" s="1975"/>
      <c r="AB708" s="1975"/>
      <c r="AC708" s="536"/>
      <c r="AD708" s="536"/>
      <c r="AE708" s="614"/>
      <c r="AF708" s="536"/>
      <c r="AG708" s="536"/>
      <c r="AH708" s="536"/>
      <c r="AI708" s="536"/>
      <c r="AJ708" s="536"/>
      <c r="AK708" s="536"/>
      <c r="AL708" s="536"/>
      <c r="AN708" s="595"/>
      <c r="AO708" s="2023" t="b">
        <f>IF(Application!D211="Special Needs",IF(AY708&gt;=0.25,TRUE,FALSE),IF(AX708&gt;=0.25,TRUE,FALSE))</f>
        <v>1</v>
      </c>
      <c r="AP708" s="1975"/>
      <c r="AW708" s="22" t="s">
        <v>2604</v>
      </c>
      <c r="AX708" s="549">
        <f>IFERROR(AX707/AX703,0)</f>
        <v>0.53125</v>
      </c>
      <c r="AY708" s="549">
        <f>IFERROR(AX707/(AX703-AX702),0)</f>
        <v>0.53125</v>
      </c>
    </row>
    <row r="709" spans="1:51" s="549" customFormat="1" ht="12.75" customHeight="1">
      <c r="B709" s="536"/>
      <c r="C709" s="936"/>
      <c r="E709" s="1975"/>
      <c r="F709" s="1975"/>
      <c r="G709" s="1975"/>
      <c r="H709" s="1975"/>
      <c r="I709" s="1975"/>
      <c r="J709" s="1975"/>
      <c r="K709" s="1975"/>
      <c r="L709" s="1975"/>
      <c r="M709" s="1975"/>
      <c r="N709" s="1975"/>
      <c r="O709" s="1975"/>
      <c r="P709" s="1975"/>
      <c r="Q709" s="1975"/>
      <c r="R709" s="1975"/>
      <c r="S709" s="1975"/>
      <c r="T709" s="1975"/>
      <c r="U709" s="1975"/>
      <c r="V709" s="1975"/>
      <c r="W709" s="1975"/>
      <c r="X709" s="1975"/>
      <c r="Y709" s="1975"/>
      <c r="Z709" s="1975"/>
      <c r="AA709" s="1975"/>
      <c r="AB709" s="1975"/>
      <c r="AC709" s="536"/>
      <c r="AD709" s="536"/>
      <c r="AE709" s="614"/>
      <c r="AF709" s="614"/>
      <c r="AG709" s="614"/>
      <c r="AH709" s="614"/>
      <c r="AI709" s="614"/>
      <c r="AJ709" s="614"/>
      <c r="AK709" s="614"/>
      <c r="AL709" s="614"/>
      <c r="AN709" s="595"/>
      <c r="AW709" s="14"/>
    </row>
    <row r="710" spans="1:51" s="549" customFormat="1" ht="28.5" customHeight="1">
      <c r="B710" s="536"/>
      <c r="C710" s="936"/>
      <c r="D710" s="536"/>
      <c r="E710" s="1975"/>
      <c r="F710" s="1975"/>
      <c r="G710" s="1975"/>
      <c r="H710" s="1975"/>
      <c r="I710" s="1975"/>
      <c r="J710" s="1975"/>
      <c r="K710" s="1975"/>
      <c r="L710" s="1975"/>
      <c r="M710" s="1975"/>
      <c r="N710" s="1975"/>
      <c r="O710" s="1975"/>
      <c r="P710" s="1975"/>
      <c r="Q710" s="1975"/>
      <c r="R710" s="1975"/>
      <c r="S710" s="1975"/>
      <c r="T710" s="1975"/>
      <c r="U710" s="1975"/>
      <c r="V710" s="1975"/>
      <c r="W710" s="1975"/>
      <c r="X710" s="1975"/>
      <c r="Y710" s="1975"/>
      <c r="Z710" s="1975"/>
      <c r="AA710" s="1975"/>
      <c r="AB710" s="1975"/>
      <c r="AC710" s="536"/>
      <c r="AD710" s="536"/>
      <c r="AE710" s="614"/>
      <c r="AF710" s="614"/>
      <c r="AG710" s="614"/>
      <c r="AH710" s="614"/>
      <c r="AI710" s="614"/>
      <c r="AJ710" s="614"/>
      <c r="AK710" s="614"/>
      <c r="AL710" s="614"/>
      <c r="AN710" s="595"/>
      <c r="AO710" s="549" t="s">
        <v>935</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134</v>
      </c>
      <c r="AP711" s="549">
        <v>2</v>
      </c>
    </row>
    <row r="712" spans="1:51" s="549" customFormat="1" ht="12.75" customHeight="1">
      <c r="B712" s="536"/>
      <c r="C712" s="927"/>
      <c r="D712" s="659" t="s">
        <v>161</v>
      </c>
      <c r="E712" s="1976" t="s">
        <v>2605</v>
      </c>
      <c r="F712" s="1975"/>
      <c r="G712" s="1975"/>
      <c r="H712" s="1975"/>
      <c r="I712" s="1975"/>
      <c r="J712" s="1975"/>
      <c r="K712" s="1975"/>
      <c r="L712" s="1975"/>
      <c r="M712" s="1975"/>
      <c r="N712" s="1975"/>
      <c r="O712" s="1975"/>
      <c r="P712" s="1975"/>
      <c r="Q712" s="1975"/>
      <c r="R712" s="1975"/>
      <c r="S712" s="1975"/>
      <c r="T712" s="1975"/>
      <c r="U712" s="1975"/>
      <c r="V712" s="1975"/>
      <c r="W712" s="1975"/>
      <c r="X712" s="1975"/>
      <c r="Y712" s="1975"/>
      <c r="Z712" s="1975"/>
      <c r="AA712" s="1975"/>
      <c r="AB712" s="1975"/>
      <c r="AC712" s="536"/>
      <c r="AD712" s="536"/>
      <c r="AE712" s="536"/>
      <c r="AF712" s="2002" t="s">
        <v>2575</v>
      </c>
      <c r="AG712" s="1975"/>
      <c r="AH712" s="1975"/>
      <c r="AI712" s="1975"/>
      <c r="AJ712" s="1975"/>
      <c r="AK712" s="1975"/>
      <c r="AL712" s="1975"/>
      <c r="AN712" s="595"/>
      <c r="AO712" s="609" t="s">
        <v>139</v>
      </c>
      <c r="AP712" s="549">
        <v>1</v>
      </c>
    </row>
    <row r="713" spans="1:51" s="549" customFormat="1" ht="12" customHeight="1">
      <c r="B713" s="536"/>
      <c r="C713" s="927"/>
      <c r="E713" s="1975"/>
      <c r="F713" s="1975"/>
      <c r="G713" s="1975"/>
      <c r="H713" s="1975"/>
      <c r="I713" s="1975"/>
      <c r="J713" s="1975"/>
      <c r="K713" s="1975"/>
      <c r="L713" s="1975"/>
      <c r="M713" s="1975"/>
      <c r="N713" s="1975"/>
      <c r="O713" s="1975"/>
      <c r="P713" s="1975"/>
      <c r="Q713" s="1975"/>
      <c r="R713" s="1975"/>
      <c r="S713" s="1975"/>
      <c r="T713" s="1975"/>
      <c r="U713" s="1975"/>
      <c r="V713" s="1975"/>
      <c r="W713" s="1975"/>
      <c r="X713" s="1975"/>
      <c r="Y713" s="1975"/>
      <c r="Z713" s="1975"/>
      <c r="AA713" s="1975"/>
      <c r="AB713" s="1975"/>
      <c r="AC713" s="536"/>
      <c r="AD713" s="536"/>
      <c r="AE713" s="614"/>
      <c r="AF713" s="536"/>
      <c r="AG713" s="536"/>
      <c r="AH713" s="536"/>
      <c r="AI713" s="536"/>
      <c r="AJ713" s="536"/>
      <c r="AK713" s="536"/>
      <c r="AL713" s="536"/>
      <c r="AN713" s="595"/>
    </row>
    <row r="714" spans="1:51" s="549" customFormat="1" ht="12" customHeight="1">
      <c r="B714" s="536"/>
      <c r="C714" s="927"/>
      <c r="D714" s="536"/>
      <c r="E714" s="1975"/>
      <c r="F714" s="1975"/>
      <c r="G714" s="1975"/>
      <c r="H714" s="1975"/>
      <c r="I714" s="1975"/>
      <c r="J714" s="1975"/>
      <c r="K714" s="1975"/>
      <c r="L714" s="1975"/>
      <c r="M714" s="1975"/>
      <c r="N714" s="1975"/>
      <c r="O714" s="1975"/>
      <c r="P714" s="1975"/>
      <c r="Q714" s="1975"/>
      <c r="R714" s="1975"/>
      <c r="S714" s="1975"/>
      <c r="T714" s="1975"/>
      <c r="U714" s="1975"/>
      <c r="V714" s="1975"/>
      <c r="W714" s="1975"/>
      <c r="X714" s="1975"/>
      <c r="Y714" s="1975"/>
      <c r="Z714" s="1975"/>
      <c r="AA714" s="1975"/>
      <c r="AB714" s="1975"/>
      <c r="AC714" s="536"/>
      <c r="AD714" s="536"/>
      <c r="AE714" s="614"/>
      <c r="AF714" s="536"/>
      <c r="AG714" s="536"/>
      <c r="AH714" s="536"/>
      <c r="AI714" s="536"/>
      <c r="AJ714" s="536"/>
      <c r="AK714" s="536"/>
      <c r="AL714" s="536"/>
      <c r="AN714" s="595"/>
    </row>
    <row r="715" spans="1:51" s="549" customFormat="1" ht="12" customHeight="1">
      <c r="B715" s="536"/>
      <c r="C715" s="927"/>
      <c r="D715" s="536"/>
      <c r="E715" s="1975"/>
      <c r="F715" s="1975"/>
      <c r="G715" s="1975"/>
      <c r="H715" s="1975"/>
      <c r="I715" s="1975"/>
      <c r="J715" s="1975"/>
      <c r="K715" s="1975"/>
      <c r="L715" s="1975"/>
      <c r="M715" s="1975"/>
      <c r="N715" s="1975"/>
      <c r="O715" s="1975"/>
      <c r="P715" s="1975"/>
      <c r="Q715" s="1975"/>
      <c r="R715" s="1975"/>
      <c r="S715" s="1975"/>
      <c r="T715" s="1975"/>
      <c r="U715" s="1975"/>
      <c r="V715" s="1975"/>
      <c r="W715" s="1975"/>
      <c r="X715" s="1975"/>
      <c r="Y715" s="1975"/>
      <c r="Z715" s="1975"/>
      <c r="AA715" s="1975"/>
      <c r="AB715" s="1975"/>
      <c r="AC715" s="536"/>
      <c r="AD715" s="536"/>
      <c r="AE715" s="614"/>
      <c r="AF715" s="536"/>
      <c r="AG715" s="536"/>
      <c r="AH715" s="536"/>
      <c r="AI715" s="536"/>
      <c r="AJ715" s="536"/>
      <c r="AK715" s="536"/>
      <c r="AL715" s="536"/>
      <c r="AN715" s="595"/>
    </row>
    <row r="716" spans="1:51" s="568" customFormat="1" ht="12.9" customHeight="1">
      <c r="A716" s="549"/>
      <c r="B716" s="536"/>
      <c r="C716" s="927"/>
      <c r="D716" s="536"/>
      <c r="E716" s="1977"/>
      <c r="F716" s="1977"/>
      <c r="G716" s="1977"/>
      <c r="H716" s="1977"/>
      <c r="I716" s="1977"/>
      <c r="J716" s="1977"/>
      <c r="K716" s="1977"/>
      <c r="L716" s="1977"/>
      <c r="M716" s="1977"/>
      <c r="N716" s="1977"/>
      <c r="O716" s="1977"/>
      <c r="P716" s="1977"/>
      <c r="Q716" s="1977"/>
      <c r="R716" s="1977"/>
      <c r="S716" s="1977"/>
      <c r="T716" s="1977"/>
      <c r="U716" s="1977"/>
      <c r="V716" s="1977"/>
      <c r="W716" s="1977"/>
      <c r="X716" s="1977"/>
      <c r="Y716" s="1977"/>
      <c r="Z716" s="1977"/>
      <c r="AA716" s="1977"/>
      <c r="AB716" s="1977"/>
      <c r="AC716" s="536"/>
      <c r="AD716" s="536"/>
      <c r="AE716" s="614"/>
      <c r="AF716" s="614"/>
      <c r="AG716" s="614"/>
      <c r="AH716" s="614"/>
      <c r="AI716" s="614"/>
      <c r="AJ716" s="536"/>
      <c r="AK716" s="536"/>
      <c r="AL716" s="536"/>
      <c r="AM716" s="549"/>
      <c r="AN716" s="680"/>
      <c r="AO716" s="549" t="s">
        <v>935</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134</v>
      </c>
      <c r="AP717" s="549">
        <v>3</v>
      </c>
    </row>
    <row r="718" spans="1:51" s="568" customFormat="1" ht="12.75" customHeight="1">
      <c r="A718" s="549"/>
      <c r="B718" s="536"/>
      <c r="C718" s="927"/>
      <c r="D718" s="536"/>
      <c r="E718" s="1976" t="s">
        <v>2606</v>
      </c>
      <c r="F718" s="1977"/>
      <c r="G718" s="1977"/>
      <c r="H718" s="1977"/>
      <c r="I718" s="1977"/>
      <c r="J718" s="1977"/>
      <c r="K718" s="1977"/>
      <c r="L718" s="1977"/>
      <c r="M718" s="1977"/>
      <c r="N718" s="1977"/>
      <c r="O718" s="1977"/>
      <c r="P718" s="1977"/>
      <c r="Q718" s="1977"/>
      <c r="R718" s="1977"/>
      <c r="S718" s="1977"/>
      <c r="T718" s="1977"/>
      <c r="U718" s="1977"/>
      <c r="V718" s="1977"/>
      <c r="W718" s="1977"/>
      <c r="X718" s="1977"/>
      <c r="Y718" s="1977"/>
      <c r="Z718" s="1977"/>
      <c r="AA718" s="1977"/>
      <c r="AB718" s="1977"/>
      <c r="AC718" s="536"/>
      <c r="AD718" s="536"/>
      <c r="AE718" s="614"/>
      <c r="AF718" s="614"/>
      <c r="AG718" s="614"/>
      <c r="AH718" s="614"/>
      <c r="AI718" s="614"/>
      <c r="AJ718" s="536"/>
      <c r="AK718" s="536"/>
      <c r="AL718" s="536"/>
      <c r="AM718" s="549"/>
      <c r="AN718" s="680"/>
      <c r="AO718" s="609" t="s">
        <v>139</v>
      </c>
      <c r="AP718" s="549">
        <f>3*$AO$708</f>
        <v>3</v>
      </c>
    </row>
    <row r="719" spans="1:51" s="568" customFormat="1" ht="12.75" customHeight="1">
      <c r="A719" s="549"/>
      <c r="B719" s="536"/>
      <c r="C719" s="927"/>
      <c r="D719" s="536"/>
      <c r="E719" s="1977"/>
      <c r="F719" s="1977"/>
      <c r="G719" s="1977"/>
      <c r="H719" s="1977"/>
      <c r="I719" s="1977"/>
      <c r="J719" s="1977"/>
      <c r="K719" s="1977"/>
      <c r="L719" s="1977"/>
      <c r="M719" s="1977"/>
      <c r="N719" s="1977"/>
      <c r="O719" s="1977"/>
      <c r="P719" s="1977"/>
      <c r="Q719" s="1977"/>
      <c r="R719" s="1977"/>
      <c r="S719" s="1977"/>
      <c r="T719" s="1977"/>
      <c r="U719" s="1977"/>
      <c r="V719" s="1977"/>
      <c r="W719" s="1977"/>
      <c r="X719" s="1977"/>
      <c r="Y719" s="1977"/>
      <c r="Z719" s="1977"/>
      <c r="AA719" s="1977"/>
      <c r="AB719" s="1977"/>
      <c r="AC719" s="536"/>
      <c r="AD719" s="536"/>
      <c r="AE719" s="614"/>
      <c r="AF719" s="614"/>
      <c r="AG719" s="614"/>
      <c r="AH719" s="614"/>
      <c r="AI719" s="614"/>
      <c r="AJ719" s="536"/>
      <c r="AK719" s="536"/>
      <c r="AL719" s="536"/>
      <c r="AM719" s="549"/>
      <c r="AN719" s="680"/>
      <c r="AO719" s="609" t="s">
        <v>161</v>
      </c>
      <c r="AP719" s="549">
        <f>2*$AO$708</f>
        <v>2</v>
      </c>
    </row>
    <row r="720" spans="1:51" s="568" customFormat="1" ht="12.75" customHeight="1">
      <c r="A720" s="549"/>
      <c r="B720" s="536"/>
      <c r="C720" s="927"/>
      <c r="D720" s="536"/>
      <c r="E720" s="1977"/>
      <c r="F720" s="1977"/>
      <c r="G720" s="1977"/>
      <c r="H720" s="1977"/>
      <c r="I720" s="1977"/>
      <c r="J720" s="1977"/>
      <c r="K720" s="1977"/>
      <c r="L720" s="1977"/>
      <c r="M720" s="1977"/>
      <c r="N720" s="1977"/>
      <c r="O720" s="1977"/>
      <c r="P720" s="1977"/>
      <c r="Q720" s="1977"/>
      <c r="R720" s="1977"/>
      <c r="S720" s="1977"/>
      <c r="T720" s="1977"/>
      <c r="U720" s="1977"/>
      <c r="V720" s="1977"/>
      <c r="W720" s="1977"/>
      <c r="X720" s="1977"/>
      <c r="Y720" s="1977"/>
      <c r="Z720" s="1977"/>
      <c r="AA720" s="1977"/>
      <c r="AB720" s="1977"/>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2562</v>
      </c>
      <c r="E722" s="932"/>
      <c r="F722" s="932"/>
      <c r="G722" s="932"/>
      <c r="H722" s="1971" t="s">
        <v>935</v>
      </c>
      <c r="I722" s="1294"/>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2607</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75</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2608</v>
      </c>
      <c r="AJ724" s="1999">
        <f>VLOOKUP($H$722,$AO$716:$AP$719,2,FALSE)</f>
        <v>0</v>
      </c>
      <c r="AK724" s="1264"/>
      <c r="AL724" s="593"/>
      <c r="AM724" s="549"/>
      <c r="AN724" s="680"/>
      <c r="AP724" s="568" t="s">
        <v>2579</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2609</v>
      </c>
    </row>
    <row r="726" spans="1:43" s="568" customFormat="1" ht="12.75" customHeight="1">
      <c r="A726" s="549"/>
      <c r="B726" s="536"/>
      <c r="C726" s="539" t="s">
        <v>2610</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2611</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80</v>
      </c>
    </row>
    <row r="728" spans="1:43" s="568" customFormat="1" ht="12.75" customHeight="1">
      <c r="A728" s="635"/>
      <c r="B728" s="536"/>
      <c r="C728" s="927"/>
      <c r="D728" s="659" t="s">
        <v>134</v>
      </c>
      <c r="E728" s="2085" t="s">
        <v>2612</v>
      </c>
      <c r="F728" s="1977"/>
      <c r="G728" s="1977"/>
      <c r="H728" s="1977"/>
      <c r="I728" s="1977"/>
      <c r="J728" s="1977"/>
      <c r="K728" s="1977"/>
      <c r="L728" s="1977"/>
      <c r="M728" s="1977"/>
      <c r="N728" s="1977"/>
      <c r="O728" s="1977"/>
      <c r="P728" s="1977"/>
      <c r="Q728" s="1977"/>
      <c r="R728" s="1977"/>
      <c r="S728" s="1977"/>
      <c r="T728" s="1977"/>
      <c r="U728" s="1977"/>
      <c r="V728" s="1977"/>
      <c r="W728" s="1977"/>
      <c r="X728" s="1977"/>
      <c r="Y728" s="1977"/>
      <c r="Z728" s="1977"/>
      <c r="AA728" s="1977"/>
      <c r="AB728" s="1977"/>
      <c r="AC728" s="536"/>
      <c r="AD728" s="536"/>
      <c r="AE728" s="536"/>
      <c r="AF728" s="2002" t="s">
        <v>2288</v>
      </c>
      <c r="AG728" s="1977"/>
      <c r="AH728" s="1977"/>
      <c r="AI728" s="1977"/>
      <c r="AJ728" s="1977"/>
      <c r="AK728" s="1977"/>
      <c r="AL728" s="1977"/>
      <c r="AM728" s="549"/>
      <c r="AN728" s="680"/>
      <c r="AP728" s="568" t="s">
        <v>2613</v>
      </c>
    </row>
    <row r="729" spans="1:43" s="568" customFormat="1" ht="11.85" customHeight="1">
      <c r="A729" s="549"/>
      <c r="B729" s="536"/>
      <c r="C729" s="929"/>
      <c r="D729" s="659"/>
      <c r="E729" s="1977"/>
      <c r="F729" s="1977"/>
      <c r="G729" s="1977"/>
      <c r="H729" s="1977"/>
      <c r="I729" s="1977"/>
      <c r="J729" s="1977"/>
      <c r="K729" s="1977"/>
      <c r="L729" s="1977"/>
      <c r="M729" s="1977"/>
      <c r="N729" s="1977"/>
      <c r="O729" s="1977"/>
      <c r="P729" s="1977"/>
      <c r="Q729" s="1977"/>
      <c r="R729" s="1977"/>
      <c r="S729" s="1977"/>
      <c r="T729" s="1977"/>
      <c r="U729" s="1977"/>
      <c r="V729" s="1977"/>
      <c r="W729" s="1977"/>
      <c r="X729" s="1977"/>
      <c r="Y729" s="1977"/>
      <c r="Z729" s="1977"/>
      <c r="AA729" s="1977"/>
      <c r="AB729" s="1977"/>
      <c r="AC729" s="536"/>
      <c r="AD729" s="536"/>
      <c r="AE729" s="536"/>
      <c r="AF729" s="536"/>
      <c r="AG729" s="536"/>
      <c r="AH729" s="536"/>
      <c r="AI729" s="536"/>
      <c r="AJ729" s="536"/>
      <c r="AK729" s="536"/>
      <c r="AL729" s="536"/>
      <c r="AM729" s="549"/>
      <c r="AN729" s="680"/>
      <c r="AP729" s="568" t="s">
        <v>2614</v>
      </c>
    </row>
    <row r="730" spans="1:43" s="568" customFormat="1" ht="13.95" customHeight="1">
      <c r="A730" s="549"/>
      <c r="B730" s="608"/>
      <c r="C730" s="927"/>
      <c r="D730" s="659"/>
      <c r="E730" s="1977"/>
      <c r="F730" s="1977"/>
      <c r="G730" s="1977"/>
      <c r="H730" s="1977"/>
      <c r="I730" s="1977"/>
      <c r="J730" s="1977"/>
      <c r="K730" s="1977"/>
      <c r="L730" s="1977"/>
      <c r="M730" s="1977"/>
      <c r="N730" s="1977"/>
      <c r="O730" s="1977"/>
      <c r="P730" s="1977"/>
      <c r="Q730" s="1977"/>
      <c r="R730" s="1977"/>
      <c r="S730" s="1977"/>
      <c r="T730" s="1977"/>
      <c r="U730" s="1977"/>
      <c r="V730" s="1977"/>
      <c r="W730" s="1977"/>
      <c r="X730" s="1977"/>
      <c r="Y730" s="1977"/>
      <c r="Z730" s="1977"/>
      <c r="AA730" s="1977"/>
      <c r="AB730" s="1977"/>
      <c r="AC730" s="536"/>
      <c r="AD730" s="536"/>
      <c r="AE730" s="614"/>
      <c r="AF730" s="536"/>
      <c r="AG730" s="536"/>
      <c r="AH730" s="536"/>
      <c r="AI730" s="536"/>
      <c r="AJ730" s="536"/>
      <c r="AK730" s="536"/>
      <c r="AL730" s="536"/>
      <c r="AM730" s="549"/>
      <c r="AN730" s="680"/>
      <c r="AP730" s="568" t="s">
        <v>84</v>
      </c>
    </row>
    <row r="731" spans="1:43" s="568" customFormat="1" ht="13.95"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2615</v>
      </c>
    </row>
    <row r="732" spans="1:43" s="568" customFormat="1" ht="13.95" customHeight="1">
      <c r="A732" s="549"/>
      <c r="B732" s="536"/>
      <c r="C732" s="927"/>
      <c r="D732" s="659" t="s">
        <v>139</v>
      </c>
      <c r="E732" s="2016" t="s">
        <v>2616</v>
      </c>
      <c r="F732" s="1977"/>
      <c r="G732" s="1977"/>
      <c r="H732" s="1977"/>
      <c r="I732" s="1977"/>
      <c r="J732" s="1977"/>
      <c r="K732" s="1977"/>
      <c r="L732" s="1977"/>
      <c r="M732" s="1977"/>
      <c r="N732" s="1977"/>
      <c r="O732" s="1977"/>
      <c r="P732" s="1977"/>
      <c r="Q732" s="1977"/>
      <c r="R732" s="1977"/>
      <c r="S732" s="1977"/>
      <c r="T732" s="1977"/>
      <c r="U732" s="1977"/>
      <c r="V732" s="1977"/>
      <c r="W732" s="1977"/>
      <c r="X732" s="1977"/>
      <c r="Y732" s="1977"/>
      <c r="Z732" s="1977"/>
      <c r="AA732" s="1977"/>
      <c r="AB732" s="1977"/>
      <c r="AC732" s="536"/>
      <c r="AD732" s="536"/>
      <c r="AE732" s="536"/>
      <c r="AF732" s="2002" t="s">
        <v>2575</v>
      </c>
      <c r="AG732" s="1977"/>
      <c r="AH732" s="1977"/>
      <c r="AI732" s="1977"/>
      <c r="AJ732" s="1977"/>
      <c r="AK732" s="1977"/>
      <c r="AL732" s="1977"/>
      <c r="AM732" s="549"/>
      <c r="AN732" s="681"/>
    </row>
    <row r="733" spans="1:43" s="568" customFormat="1" ht="12.75" customHeight="1">
      <c r="A733" s="549"/>
      <c r="B733" s="536"/>
      <c r="C733" s="929"/>
      <c r="D733" s="536"/>
      <c r="E733" s="1977"/>
      <c r="F733" s="1977"/>
      <c r="G733" s="1977"/>
      <c r="H733" s="1977"/>
      <c r="I733" s="1977"/>
      <c r="J733" s="1977"/>
      <c r="K733" s="1977"/>
      <c r="L733" s="1977"/>
      <c r="M733" s="1977"/>
      <c r="N733" s="1977"/>
      <c r="O733" s="1977"/>
      <c r="P733" s="1977"/>
      <c r="Q733" s="1977"/>
      <c r="R733" s="1977"/>
      <c r="S733" s="1977"/>
      <c r="T733" s="1977"/>
      <c r="U733" s="1977"/>
      <c r="V733" s="1977"/>
      <c r="W733" s="1977"/>
      <c r="X733" s="1977"/>
      <c r="Y733" s="1977"/>
      <c r="Z733" s="1977"/>
      <c r="AA733" s="1977"/>
      <c r="AB733" s="1977"/>
      <c r="AC733" s="536"/>
      <c r="AD733" s="536"/>
      <c r="AE733" s="536"/>
      <c r="AF733" s="536"/>
      <c r="AG733" s="536"/>
      <c r="AH733" s="536"/>
      <c r="AI733" s="536"/>
      <c r="AJ733" s="536"/>
      <c r="AK733" s="536"/>
      <c r="AL733" s="536"/>
      <c r="AM733" s="549"/>
      <c r="AN733" s="680"/>
      <c r="AP733" s="549" t="s">
        <v>935</v>
      </c>
      <c r="AQ733" s="669">
        <v>0</v>
      </c>
    </row>
    <row r="734" spans="1:43" s="568" customFormat="1" ht="13.95" customHeight="1">
      <c r="A734" s="549"/>
      <c r="B734" s="536"/>
      <c r="C734" s="929"/>
      <c r="D734" s="536"/>
      <c r="E734" s="1977"/>
      <c r="F734" s="1977"/>
      <c r="G734" s="1977"/>
      <c r="H734" s="1977"/>
      <c r="I734" s="1977"/>
      <c r="J734" s="1977"/>
      <c r="K734" s="1977"/>
      <c r="L734" s="1977"/>
      <c r="M734" s="1977"/>
      <c r="N734" s="1977"/>
      <c r="O734" s="1977"/>
      <c r="P734" s="1977"/>
      <c r="Q734" s="1977"/>
      <c r="R734" s="1977"/>
      <c r="S734" s="1977"/>
      <c r="T734" s="1977"/>
      <c r="U734" s="1977"/>
      <c r="V734" s="1977"/>
      <c r="W734" s="1977"/>
      <c r="X734" s="1977"/>
      <c r="Y734" s="1977"/>
      <c r="Z734" s="1977"/>
      <c r="AA734" s="1977"/>
      <c r="AB734" s="1977"/>
      <c r="AC734" s="536"/>
      <c r="AD734" s="536"/>
      <c r="AE734" s="536"/>
      <c r="AF734" s="536"/>
      <c r="AG734" s="536"/>
      <c r="AH734" s="536"/>
      <c r="AI734" s="536"/>
      <c r="AJ734" s="536"/>
      <c r="AK734" s="536"/>
      <c r="AL734" s="536"/>
      <c r="AM734" s="549"/>
      <c r="AN734" s="680"/>
      <c r="AP734" s="609" t="s">
        <v>134</v>
      </c>
      <c r="AQ734" s="549">
        <v>3</v>
      </c>
    </row>
    <row r="735" spans="1:43" s="568" customFormat="1" ht="13.95"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139</v>
      </c>
      <c r="AQ735" s="549">
        <v>2</v>
      </c>
    </row>
    <row r="736" spans="1:43" s="568" customFormat="1" ht="13.95" customHeight="1">
      <c r="A736" s="549"/>
      <c r="B736" s="536"/>
      <c r="C736" s="929"/>
      <c r="D736" s="536" t="s">
        <v>2562</v>
      </c>
      <c r="E736" s="932"/>
      <c r="F736" s="932"/>
      <c r="G736" s="932"/>
      <c r="H736" s="1971" t="s">
        <v>935</v>
      </c>
      <c r="I736" s="1294"/>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2617</v>
      </c>
      <c r="AJ738" s="1999">
        <f>VLOOKUP($H$736,$AP$733:$AQ$735,2,FALSE)</f>
        <v>0</v>
      </c>
      <c r="AK738" s="1264"/>
      <c r="AL738" s="593"/>
      <c r="AM738" s="549"/>
      <c r="AN738" s="680"/>
      <c r="AP738" s="1999"/>
      <c r="AQ738" s="1264"/>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2618</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134</v>
      </c>
      <c r="E742" s="1976" t="s">
        <v>2619</v>
      </c>
      <c r="F742" s="1977"/>
      <c r="G742" s="1977"/>
      <c r="H742" s="1977"/>
      <c r="I742" s="1977"/>
      <c r="J742" s="1977"/>
      <c r="K742" s="1977"/>
      <c r="L742" s="1977"/>
      <c r="M742" s="1977"/>
      <c r="N742" s="1977"/>
      <c r="O742" s="1977"/>
      <c r="P742" s="1977"/>
      <c r="Q742" s="1977"/>
      <c r="R742" s="1977"/>
      <c r="S742" s="1977"/>
      <c r="T742" s="1977"/>
      <c r="U742" s="1977"/>
      <c r="V742" s="1977"/>
      <c r="W742" s="1977"/>
      <c r="X742" s="1977"/>
      <c r="Y742" s="1977"/>
      <c r="Z742" s="1977"/>
      <c r="AA742" s="1977"/>
      <c r="AB742" s="1977"/>
      <c r="AC742" s="536"/>
      <c r="AD742" s="536"/>
      <c r="AE742" s="536"/>
      <c r="AF742" s="2002" t="s">
        <v>2288</v>
      </c>
      <c r="AG742" s="1977"/>
      <c r="AH742" s="1977"/>
      <c r="AI742" s="1977"/>
      <c r="AJ742" s="1977"/>
      <c r="AK742" s="1977"/>
      <c r="AL742" s="1977"/>
      <c r="AM742" s="549"/>
      <c r="AN742" s="680"/>
      <c r="AT742" s="14"/>
      <c r="AU742" s="14"/>
      <c r="AV742" s="14"/>
      <c r="AW742" s="14"/>
      <c r="AX742" s="14"/>
      <c r="AY742" s="14"/>
      <c r="AZ742" s="14"/>
    </row>
    <row r="743" spans="1:81" s="568" customFormat="1">
      <c r="A743" s="549"/>
      <c r="B743" s="536"/>
      <c r="C743" s="929"/>
      <c r="D743" s="659"/>
      <c r="E743" s="1977"/>
      <c r="F743" s="1977"/>
      <c r="G743" s="1977"/>
      <c r="H743" s="1977"/>
      <c r="I743" s="1977"/>
      <c r="J743" s="1977"/>
      <c r="K743" s="1977"/>
      <c r="L743" s="1977"/>
      <c r="M743" s="1977"/>
      <c r="N743" s="1977"/>
      <c r="O743" s="1977"/>
      <c r="P743" s="1977"/>
      <c r="Q743" s="1977"/>
      <c r="R743" s="1977"/>
      <c r="S743" s="1977"/>
      <c r="T743" s="1977"/>
      <c r="U743" s="1977"/>
      <c r="V743" s="1977"/>
      <c r="W743" s="1977"/>
      <c r="X743" s="1977"/>
      <c r="Y743" s="1977"/>
      <c r="Z743" s="1977"/>
      <c r="AA743" s="1977"/>
      <c r="AB743" s="1977"/>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139</v>
      </c>
      <c r="E745" s="1976" t="s">
        <v>2620</v>
      </c>
      <c r="F745" s="1977"/>
      <c r="G745" s="1977"/>
      <c r="H745" s="1977"/>
      <c r="I745" s="1977"/>
      <c r="J745" s="1977"/>
      <c r="K745" s="1977"/>
      <c r="L745" s="1977"/>
      <c r="M745" s="1977"/>
      <c r="N745" s="1977"/>
      <c r="O745" s="1977"/>
      <c r="P745" s="1977"/>
      <c r="Q745" s="1977"/>
      <c r="R745" s="1977"/>
      <c r="S745" s="1977"/>
      <c r="T745" s="1977"/>
      <c r="U745" s="1977"/>
      <c r="V745" s="1977"/>
      <c r="W745" s="1977"/>
      <c r="X745" s="1977"/>
      <c r="Y745" s="1977"/>
      <c r="Z745" s="1977"/>
      <c r="AA745" s="1977"/>
      <c r="AB745" s="1977"/>
      <c r="AC745" s="536"/>
      <c r="AD745" s="536"/>
      <c r="AE745" s="536"/>
      <c r="AF745" s="2002" t="s">
        <v>2575</v>
      </c>
      <c r="AG745" s="1977"/>
      <c r="AH745" s="1977"/>
      <c r="AI745" s="1977"/>
      <c r="AJ745" s="1977"/>
      <c r="AK745" s="1977"/>
      <c r="AL745" s="1977"/>
      <c r="AM745" s="549"/>
      <c r="AN745" s="680"/>
      <c r="AT745" s="14"/>
      <c r="AU745" s="14"/>
      <c r="AV745" s="14"/>
      <c r="AW745" s="14"/>
      <c r="AX745" s="14"/>
      <c r="AY745" s="14"/>
      <c r="AZ745" s="14"/>
    </row>
    <row r="746" spans="1:81" s="568" customFormat="1">
      <c r="A746" s="549"/>
      <c r="B746" s="536"/>
      <c r="C746" s="929"/>
      <c r="D746" s="536"/>
      <c r="E746" s="1977"/>
      <c r="F746" s="1977"/>
      <c r="G746" s="1977"/>
      <c r="H746" s="1977"/>
      <c r="I746" s="1977"/>
      <c r="J746" s="1977"/>
      <c r="K746" s="1977"/>
      <c r="L746" s="1977"/>
      <c r="M746" s="1977"/>
      <c r="N746" s="1977"/>
      <c r="O746" s="1977"/>
      <c r="P746" s="1977"/>
      <c r="Q746" s="1977"/>
      <c r="R746" s="1977"/>
      <c r="S746" s="1977"/>
      <c r="T746" s="1977"/>
      <c r="U746" s="1977"/>
      <c r="V746" s="1977"/>
      <c r="W746" s="1977"/>
      <c r="X746" s="1977"/>
      <c r="Y746" s="1977"/>
      <c r="Z746" s="1977"/>
      <c r="AA746" s="1977"/>
      <c r="AB746" s="1977"/>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2562</v>
      </c>
      <c r="E748" s="932"/>
      <c r="F748" s="932"/>
      <c r="G748" s="932"/>
      <c r="H748" s="1971" t="s">
        <v>935</v>
      </c>
      <c r="I748" s="1294"/>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2621</v>
      </c>
      <c r="AJ750" s="1999">
        <f>VLOOKUP($H$748,$AO$679:$AP$681,2,FALSE)</f>
        <v>0</v>
      </c>
      <c r="AK750" s="1264"/>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2622</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134</v>
      </c>
      <c r="E754" s="1976" t="s">
        <v>2623</v>
      </c>
      <c r="F754" s="1977"/>
      <c r="G754" s="1977"/>
      <c r="H754" s="1977"/>
      <c r="I754" s="1977"/>
      <c r="J754" s="1977"/>
      <c r="K754" s="1977"/>
      <c r="L754" s="1977"/>
      <c r="M754" s="1977"/>
      <c r="N754" s="1977"/>
      <c r="O754" s="1977"/>
      <c r="P754" s="1977"/>
      <c r="Q754" s="1977"/>
      <c r="R754" s="1977"/>
      <c r="S754" s="1977"/>
      <c r="T754" s="1977"/>
      <c r="U754" s="1977"/>
      <c r="V754" s="1977"/>
      <c r="W754" s="1977"/>
      <c r="X754" s="1977"/>
      <c r="Y754" s="1977"/>
      <c r="Z754" s="1977"/>
      <c r="AA754" s="1977"/>
      <c r="AB754" s="1977"/>
      <c r="AC754" s="536"/>
      <c r="AD754" s="536"/>
      <c r="AE754" s="536"/>
      <c r="AF754" s="2002" t="s">
        <v>2288</v>
      </c>
      <c r="AG754" s="1977"/>
      <c r="AH754" s="1977"/>
      <c r="AI754" s="1977"/>
      <c r="AJ754" s="1977"/>
      <c r="AK754" s="1977"/>
      <c r="AL754" s="1977"/>
      <c r="AM754" s="549"/>
      <c r="AN754" s="680"/>
      <c r="AT754" s="14"/>
      <c r="AU754" s="14"/>
      <c r="AV754" s="14"/>
      <c r="AW754" s="14"/>
      <c r="AX754" s="14"/>
      <c r="AY754" s="14"/>
      <c r="AZ754" s="14"/>
    </row>
    <row r="755" spans="1:81" s="568" customFormat="1">
      <c r="A755" s="549"/>
      <c r="B755" s="536"/>
      <c r="C755" s="927"/>
      <c r="D755" s="659"/>
      <c r="E755" s="1977"/>
      <c r="F755" s="1977"/>
      <c r="G755" s="1977"/>
      <c r="H755" s="1977"/>
      <c r="I755" s="1977"/>
      <c r="J755" s="1977"/>
      <c r="K755" s="1977"/>
      <c r="L755" s="1977"/>
      <c r="M755" s="1977"/>
      <c r="N755" s="1977"/>
      <c r="O755" s="1977"/>
      <c r="P755" s="1977"/>
      <c r="Q755" s="1977"/>
      <c r="R755" s="1977"/>
      <c r="S755" s="1977"/>
      <c r="T755" s="1977"/>
      <c r="U755" s="1977"/>
      <c r="V755" s="1977"/>
      <c r="W755" s="1977"/>
      <c r="X755" s="1977"/>
      <c r="Y755" s="1977"/>
      <c r="Z755" s="1977"/>
      <c r="AA755" s="1977"/>
      <c r="AB755" s="1977"/>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1977"/>
      <c r="F756" s="1977"/>
      <c r="G756" s="1977"/>
      <c r="H756" s="1977"/>
      <c r="I756" s="1977"/>
      <c r="J756" s="1977"/>
      <c r="K756" s="1977"/>
      <c r="L756" s="1977"/>
      <c r="M756" s="1977"/>
      <c r="N756" s="1977"/>
      <c r="O756" s="1977"/>
      <c r="P756" s="1977"/>
      <c r="Q756" s="1977"/>
      <c r="R756" s="1977"/>
      <c r="S756" s="1977"/>
      <c r="T756" s="1977"/>
      <c r="U756" s="1977"/>
      <c r="V756" s="1977"/>
      <c r="W756" s="1977"/>
      <c r="X756" s="1977"/>
      <c r="Y756" s="1977"/>
      <c r="Z756" s="1977"/>
      <c r="AA756" s="1977"/>
      <c r="AB756" s="1977"/>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1977"/>
      <c r="F757" s="1977"/>
      <c r="G757" s="1977"/>
      <c r="H757" s="1977"/>
      <c r="I757" s="1977"/>
      <c r="J757" s="1977"/>
      <c r="K757" s="1977"/>
      <c r="L757" s="1977"/>
      <c r="M757" s="1977"/>
      <c r="N757" s="1977"/>
      <c r="O757" s="1977"/>
      <c r="P757" s="1977"/>
      <c r="Q757" s="1977"/>
      <c r="R757" s="1977"/>
      <c r="S757" s="1977"/>
      <c r="T757" s="1977"/>
      <c r="U757" s="1977"/>
      <c r="V757" s="1977"/>
      <c r="W757" s="1977"/>
      <c r="X757" s="1977"/>
      <c r="Y757" s="1977"/>
      <c r="Z757" s="1977"/>
      <c r="AA757" s="1977"/>
      <c r="AB757" s="1977"/>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139</v>
      </c>
      <c r="E759" s="1976" t="s">
        <v>2624</v>
      </c>
      <c r="F759" s="1977"/>
      <c r="G759" s="1977"/>
      <c r="H759" s="1977"/>
      <c r="I759" s="1977"/>
      <c r="J759" s="1977"/>
      <c r="K759" s="1977"/>
      <c r="L759" s="1977"/>
      <c r="M759" s="1977"/>
      <c r="N759" s="1977"/>
      <c r="O759" s="1977"/>
      <c r="P759" s="1977"/>
      <c r="Q759" s="1977"/>
      <c r="R759" s="1977"/>
      <c r="S759" s="1977"/>
      <c r="T759" s="1977"/>
      <c r="U759" s="1977"/>
      <c r="V759" s="1977"/>
      <c r="W759" s="1977"/>
      <c r="X759" s="1977"/>
      <c r="Y759" s="1977"/>
      <c r="Z759" s="1977"/>
      <c r="AA759" s="1977"/>
      <c r="AB759" s="573"/>
      <c r="AC759" s="536"/>
      <c r="AD759" s="536"/>
      <c r="AE759" s="536"/>
      <c r="AF759" s="2002" t="s">
        <v>2575</v>
      </c>
      <c r="AG759" s="1977"/>
      <c r="AH759" s="1977"/>
      <c r="AI759" s="1977"/>
      <c r="AJ759" s="1977"/>
      <c r="AK759" s="1977"/>
      <c r="AL759" s="1977"/>
      <c r="AM759" s="549"/>
      <c r="AN759" s="680"/>
      <c r="AO759" s="30"/>
      <c r="AP759" s="14"/>
    </row>
    <row r="760" spans="1:81" s="568" customFormat="1">
      <c r="A760" s="549"/>
      <c r="B760" s="536"/>
      <c r="C760" s="927"/>
      <c r="D760" s="659"/>
      <c r="E760" s="1977"/>
      <c r="F760" s="1977"/>
      <c r="G760" s="1977"/>
      <c r="H760" s="1977"/>
      <c r="I760" s="1977"/>
      <c r="J760" s="1977"/>
      <c r="K760" s="1977"/>
      <c r="L760" s="1977"/>
      <c r="M760" s="1977"/>
      <c r="N760" s="1977"/>
      <c r="O760" s="1977"/>
      <c r="P760" s="1977"/>
      <c r="Q760" s="1977"/>
      <c r="R760" s="1977"/>
      <c r="S760" s="1977"/>
      <c r="T760" s="1977"/>
      <c r="U760" s="1977"/>
      <c r="V760" s="1977"/>
      <c r="W760" s="1977"/>
      <c r="X760" s="1977"/>
      <c r="Y760" s="1977"/>
      <c r="Z760" s="1977"/>
      <c r="AA760" s="1977"/>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1977"/>
      <c r="F761" s="1977"/>
      <c r="G761" s="1977"/>
      <c r="H761" s="1977"/>
      <c r="I761" s="1977"/>
      <c r="J761" s="1977"/>
      <c r="K761" s="1977"/>
      <c r="L761" s="1977"/>
      <c r="M761" s="1977"/>
      <c r="N761" s="1977"/>
      <c r="O761" s="1977"/>
      <c r="P761" s="1977"/>
      <c r="Q761" s="1977"/>
      <c r="R761" s="1977"/>
      <c r="S761" s="1977"/>
      <c r="T761" s="1977"/>
      <c r="U761" s="1977"/>
      <c r="V761" s="1977"/>
      <c r="W761" s="1977"/>
      <c r="X761" s="1977"/>
      <c r="Y761" s="1977"/>
      <c r="Z761" s="1977"/>
      <c r="AA761" s="1977"/>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1977"/>
      <c r="F762" s="1977"/>
      <c r="G762" s="1977"/>
      <c r="H762" s="1977"/>
      <c r="I762" s="1977"/>
      <c r="J762" s="1977"/>
      <c r="K762" s="1977"/>
      <c r="L762" s="1977"/>
      <c r="M762" s="1977"/>
      <c r="N762" s="1977"/>
      <c r="O762" s="1977"/>
      <c r="P762" s="1977"/>
      <c r="Q762" s="1977"/>
      <c r="R762" s="1977"/>
      <c r="S762" s="1977"/>
      <c r="T762" s="1977"/>
      <c r="U762" s="1977"/>
      <c r="V762" s="1977"/>
      <c r="W762" s="1977"/>
      <c r="X762" s="1977"/>
      <c r="Y762" s="1977"/>
      <c r="Z762" s="1977"/>
      <c r="AA762" s="1977"/>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2562</v>
      </c>
      <c r="E764" s="932"/>
      <c r="F764" s="932"/>
      <c r="G764" s="932"/>
      <c r="H764" s="1971" t="s">
        <v>935</v>
      </c>
      <c r="I764" s="1294"/>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2625</v>
      </c>
      <c r="AJ766" s="1999">
        <f>VLOOKUP($H$764,$AO$693:$AP$695,2,FALSE)</f>
        <v>0</v>
      </c>
      <c r="AK766" s="1264"/>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84</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134</v>
      </c>
      <c r="E770" s="1976" t="s">
        <v>2626</v>
      </c>
      <c r="F770" s="1977"/>
      <c r="G770" s="1977"/>
      <c r="H770" s="1977"/>
      <c r="I770" s="1977"/>
      <c r="J770" s="1977"/>
      <c r="K770" s="1977"/>
      <c r="L770" s="1977"/>
      <c r="M770" s="1977"/>
      <c r="N770" s="1977"/>
      <c r="O770" s="1977"/>
      <c r="P770" s="1977"/>
      <c r="Q770" s="1977"/>
      <c r="R770" s="1977"/>
      <c r="S770" s="1977"/>
      <c r="T770" s="1977"/>
      <c r="U770" s="1977"/>
      <c r="V770" s="1977"/>
      <c r="W770" s="1977"/>
      <c r="X770" s="1977"/>
      <c r="Y770" s="1977"/>
      <c r="Z770" s="1977"/>
      <c r="AA770" s="1977"/>
      <c r="AB770" s="1977"/>
      <c r="AC770" s="536"/>
      <c r="AD770" s="536"/>
      <c r="AE770" s="536"/>
      <c r="AF770" s="2002" t="s">
        <v>2575</v>
      </c>
      <c r="AG770" s="1977"/>
      <c r="AH770" s="1977"/>
      <c r="AI770" s="1977"/>
      <c r="AJ770" s="1977"/>
      <c r="AK770" s="1977"/>
      <c r="AL770" s="1977"/>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1977"/>
      <c r="F771" s="1977"/>
      <c r="G771" s="1977"/>
      <c r="H771" s="1977"/>
      <c r="I771" s="1977"/>
      <c r="J771" s="1977"/>
      <c r="K771" s="1977"/>
      <c r="L771" s="1977"/>
      <c r="M771" s="1977"/>
      <c r="N771" s="1977"/>
      <c r="O771" s="1977"/>
      <c r="P771" s="1977"/>
      <c r="Q771" s="1977"/>
      <c r="R771" s="1977"/>
      <c r="S771" s="1977"/>
      <c r="T771" s="1977"/>
      <c r="U771" s="1977"/>
      <c r="V771" s="1977"/>
      <c r="W771" s="1977"/>
      <c r="X771" s="1977"/>
      <c r="Y771" s="1977"/>
      <c r="Z771" s="1977"/>
      <c r="AA771" s="1977"/>
      <c r="AB771" s="1977"/>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139</v>
      </c>
      <c r="E773" s="1976" t="s">
        <v>2627</v>
      </c>
      <c r="F773" s="1977"/>
      <c r="G773" s="1977"/>
      <c r="H773" s="1977"/>
      <c r="I773" s="1977"/>
      <c r="J773" s="1977"/>
      <c r="K773" s="1977"/>
      <c r="L773" s="1977"/>
      <c r="M773" s="1977"/>
      <c r="N773" s="1977"/>
      <c r="O773" s="1977"/>
      <c r="P773" s="1977"/>
      <c r="Q773" s="1977"/>
      <c r="R773" s="1977"/>
      <c r="S773" s="1977"/>
      <c r="T773" s="1977"/>
      <c r="U773" s="1977"/>
      <c r="V773" s="1977"/>
      <c r="W773" s="1977"/>
      <c r="X773" s="1977"/>
      <c r="Y773" s="1977"/>
      <c r="Z773" s="1977"/>
      <c r="AA773" s="1977"/>
      <c r="AB773" s="1977"/>
      <c r="AC773" s="536"/>
      <c r="AD773" s="536"/>
      <c r="AE773" s="536"/>
      <c r="AF773" s="2002" t="s">
        <v>2593</v>
      </c>
      <c r="AG773" s="1977"/>
      <c r="AH773" s="1977"/>
      <c r="AI773" s="1977"/>
      <c r="AJ773" s="1977"/>
      <c r="AK773" s="1977"/>
      <c r="AL773" s="1977"/>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1977"/>
      <c r="F774" s="1977"/>
      <c r="G774" s="1977"/>
      <c r="H774" s="1977"/>
      <c r="I774" s="1977"/>
      <c r="J774" s="1977"/>
      <c r="K774" s="1977"/>
      <c r="L774" s="1977"/>
      <c r="M774" s="1977"/>
      <c r="N774" s="1977"/>
      <c r="O774" s="1977"/>
      <c r="P774" s="1977"/>
      <c r="Q774" s="1977"/>
      <c r="R774" s="1977"/>
      <c r="S774" s="1977"/>
      <c r="T774" s="1977"/>
      <c r="U774" s="1977"/>
      <c r="V774" s="1977"/>
      <c r="W774" s="1977"/>
      <c r="X774" s="1977"/>
      <c r="Y774" s="1977"/>
      <c r="Z774" s="1977"/>
      <c r="AA774" s="1977"/>
      <c r="AB774" s="1977"/>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2562</v>
      </c>
      <c r="E776" s="932"/>
      <c r="F776" s="932"/>
      <c r="G776" s="932"/>
      <c r="H776" s="1971" t="s">
        <v>139</v>
      </c>
      <c r="I776" s="1294"/>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5"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2628</v>
      </c>
      <c r="AJ778" s="1999">
        <f>VLOOKUP($H$776,$AO$710:$AP$712,2,FALSE)</f>
        <v>1</v>
      </c>
      <c r="AK778" s="1264"/>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2615</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65" customHeight="1">
      <c r="A782" s="549"/>
      <c r="B782" s="614"/>
      <c r="C782" s="936"/>
      <c r="D782" s="659" t="s">
        <v>134</v>
      </c>
      <c r="E782" s="1976" t="s">
        <v>2629</v>
      </c>
      <c r="F782" s="1977"/>
      <c r="G782" s="1977"/>
      <c r="H782" s="1977"/>
      <c r="I782" s="1977"/>
      <c r="J782" s="1977"/>
      <c r="K782" s="1977"/>
      <c r="L782" s="1977"/>
      <c r="M782" s="1977"/>
      <c r="N782" s="1977"/>
      <c r="O782" s="1977"/>
      <c r="P782" s="1977"/>
      <c r="Q782" s="1977"/>
      <c r="R782" s="1977"/>
      <c r="S782" s="1977"/>
      <c r="T782" s="1977"/>
      <c r="U782" s="1977"/>
      <c r="V782" s="1977"/>
      <c r="W782" s="1977"/>
      <c r="X782" s="1977"/>
      <c r="Y782" s="1977"/>
      <c r="Z782" s="1977"/>
      <c r="AA782" s="1977"/>
      <c r="AB782" s="1977"/>
      <c r="AC782" s="1977"/>
      <c r="AD782" s="1977"/>
      <c r="AE782" s="536"/>
      <c r="AF782" s="2002" t="s">
        <v>2575</v>
      </c>
      <c r="AG782" s="1977"/>
      <c r="AH782" s="1977"/>
      <c r="AI782" s="1977"/>
      <c r="AJ782" s="1977"/>
      <c r="AK782" s="1977"/>
      <c r="AL782" s="1977"/>
      <c r="AM782" s="611"/>
      <c r="AN782" s="680"/>
      <c r="AO782" s="549" t="s">
        <v>935</v>
      </c>
      <c r="AP782" s="669">
        <v>0</v>
      </c>
    </row>
    <row r="783" spans="1:74" s="568" customFormat="1" ht="13.65" customHeight="1">
      <c r="A783" s="549"/>
      <c r="B783" s="614"/>
      <c r="C783" s="936"/>
      <c r="D783" s="659"/>
      <c r="E783" s="1977"/>
      <c r="F783" s="1977"/>
      <c r="G783" s="1977"/>
      <c r="H783" s="1977"/>
      <c r="I783" s="1977"/>
      <c r="J783" s="1977"/>
      <c r="K783" s="1977"/>
      <c r="L783" s="1977"/>
      <c r="M783" s="1977"/>
      <c r="N783" s="1977"/>
      <c r="O783" s="1977"/>
      <c r="P783" s="1977"/>
      <c r="Q783" s="1977"/>
      <c r="R783" s="1977"/>
      <c r="S783" s="1977"/>
      <c r="T783" s="1977"/>
      <c r="U783" s="1977"/>
      <c r="V783" s="1977"/>
      <c r="W783" s="1977"/>
      <c r="X783" s="1977"/>
      <c r="Y783" s="1977"/>
      <c r="Z783" s="1977"/>
      <c r="AA783" s="1977"/>
      <c r="AB783" s="1977"/>
      <c r="AC783" s="1977"/>
      <c r="AD783" s="1977"/>
      <c r="AE783" s="536"/>
      <c r="AF783" s="592"/>
      <c r="AG783" s="592"/>
      <c r="AH783" s="592"/>
      <c r="AI783" s="592"/>
      <c r="AJ783" s="592"/>
      <c r="AK783" s="592"/>
      <c r="AL783" s="592"/>
      <c r="AM783" s="611"/>
      <c r="AN783" s="680"/>
      <c r="AO783" s="609" t="s">
        <v>134</v>
      </c>
      <c r="AP783" s="549">
        <v>2</v>
      </c>
    </row>
    <row r="784" spans="1:74" s="568" customFormat="1">
      <c r="A784" s="549"/>
      <c r="B784" s="614"/>
      <c r="C784" s="936"/>
      <c r="D784" s="659"/>
      <c r="E784" s="1977"/>
      <c r="F784" s="1977"/>
      <c r="G784" s="1977"/>
      <c r="H784" s="1977"/>
      <c r="I784" s="1977"/>
      <c r="J784" s="1977"/>
      <c r="K784" s="1977"/>
      <c r="L784" s="1977"/>
      <c r="M784" s="1977"/>
      <c r="N784" s="1977"/>
      <c r="O784" s="1977"/>
      <c r="P784" s="1977"/>
      <c r="Q784" s="1977"/>
      <c r="R784" s="1977"/>
      <c r="S784" s="1977"/>
      <c r="T784" s="1977"/>
      <c r="U784" s="1977"/>
      <c r="V784" s="1977"/>
      <c r="W784" s="1977"/>
      <c r="X784" s="1977"/>
      <c r="Y784" s="1977"/>
      <c r="Z784" s="1977"/>
      <c r="AA784" s="1977"/>
      <c r="AB784" s="1977"/>
      <c r="AC784" s="1977"/>
      <c r="AD784" s="1977"/>
      <c r="AE784" s="536"/>
      <c r="AF784" s="536"/>
      <c r="AG784" s="536"/>
      <c r="AH784" s="536"/>
      <c r="AI784" s="536"/>
      <c r="AJ784" s="536"/>
      <c r="AK784" s="536"/>
      <c r="AL784" s="592"/>
      <c r="AM784" s="611"/>
      <c r="AN784" s="534"/>
      <c r="AO784" s="609" t="s">
        <v>139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1977"/>
      <c r="F785" s="1977"/>
      <c r="G785" s="1977"/>
      <c r="H785" s="1977"/>
      <c r="I785" s="1977"/>
      <c r="J785" s="1977"/>
      <c r="K785" s="1977"/>
      <c r="L785" s="1977"/>
      <c r="M785" s="1977"/>
      <c r="N785" s="1977"/>
      <c r="O785" s="1977"/>
      <c r="P785" s="1977"/>
      <c r="Q785" s="1977"/>
      <c r="R785" s="1977"/>
      <c r="S785" s="1977"/>
      <c r="T785" s="1977"/>
      <c r="U785" s="1977"/>
      <c r="V785" s="1977"/>
      <c r="W785" s="1977"/>
      <c r="X785" s="1977"/>
      <c r="Y785" s="1977"/>
      <c r="Z785" s="1977"/>
      <c r="AA785" s="1977"/>
      <c r="AB785" s="1977"/>
      <c r="AC785" s="1977"/>
      <c r="AD785" s="1977"/>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139</v>
      </c>
      <c r="E787" s="2108" t="s">
        <v>2630</v>
      </c>
      <c r="F787" s="1975"/>
      <c r="G787" s="1975"/>
      <c r="H787" s="1975"/>
      <c r="I787" s="1975"/>
      <c r="J787" s="1975"/>
      <c r="K787" s="1975"/>
      <c r="L787" s="1975"/>
      <c r="M787" s="1975"/>
      <c r="N787" s="1975"/>
      <c r="O787" s="1975"/>
      <c r="P787" s="1975"/>
      <c r="Q787" s="1975"/>
      <c r="R787" s="1975"/>
      <c r="S787" s="1975"/>
      <c r="T787" s="1975"/>
      <c r="U787" s="1975"/>
      <c r="V787" s="1975"/>
      <c r="W787" s="1975"/>
      <c r="X787" s="1975"/>
      <c r="Y787" s="1975"/>
      <c r="Z787" s="1975"/>
      <c r="AA787" s="1975"/>
      <c r="AB787" s="1975"/>
      <c r="AC787" s="1975"/>
      <c r="AD787" s="1975"/>
      <c r="AE787" s="536"/>
      <c r="AF787" s="2002" t="s">
        <v>2288</v>
      </c>
      <c r="AG787" s="1975"/>
      <c r="AH787" s="1975"/>
      <c r="AI787" s="1975"/>
      <c r="AJ787" s="1975"/>
      <c r="AK787" s="1975"/>
      <c r="AL787" s="1975"/>
      <c r="AM787" s="611"/>
      <c r="AN787" s="595"/>
    </row>
    <row r="788" spans="1:81" s="549" customFormat="1" ht="12.75" customHeight="1">
      <c r="B788" s="614"/>
      <c r="C788" s="936"/>
      <c r="D788" s="659"/>
      <c r="E788" s="1975"/>
      <c r="F788" s="1975"/>
      <c r="G788" s="1975"/>
      <c r="H788" s="1975"/>
      <c r="I788" s="1975"/>
      <c r="J788" s="1975"/>
      <c r="K788" s="1975"/>
      <c r="L788" s="1975"/>
      <c r="M788" s="1975"/>
      <c r="N788" s="1975"/>
      <c r="O788" s="1975"/>
      <c r="P788" s="1975"/>
      <c r="Q788" s="1975"/>
      <c r="R788" s="1975"/>
      <c r="S788" s="1975"/>
      <c r="T788" s="1975"/>
      <c r="U788" s="1975"/>
      <c r="V788" s="1975"/>
      <c r="W788" s="1975"/>
      <c r="X788" s="1975"/>
      <c r="Y788" s="1975"/>
      <c r="Z788" s="1975"/>
      <c r="AA788" s="1975"/>
      <c r="AB788" s="1975"/>
      <c r="AC788" s="1975"/>
      <c r="AD788" s="1975"/>
      <c r="AE788" s="592"/>
      <c r="AF788" s="592"/>
      <c r="AG788" s="592"/>
      <c r="AH788" s="592"/>
      <c r="AI788" s="592"/>
      <c r="AJ788" s="592"/>
      <c r="AK788" s="592"/>
      <c r="AL788" s="592"/>
      <c r="AM788" s="611"/>
      <c r="AN788" s="595"/>
    </row>
    <row r="789" spans="1:81" s="549" customFormat="1" ht="12.75" customHeight="1">
      <c r="B789" s="614"/>
      <c r="C789" s="936"/>
      <c r="D789" s="659"/>
      <c r="E789" s="1975"/>
      <c r="F789" s="1975"/>
      <c r="G789" s="1975"/>
      <c r="H789" s="1975"/>
      <c r="I789" s="1975"/>
      <c r="J789" s="1975"/>
      <c r="K789" s="1975"/>
      <c r="L789" s="1975"/>
      <c r="M789" s="1975"/>
      <c r="N789" s="1975"/>
      <c r="O789" s="1975"/>
      <c r="P789" s="1975"/>
      <c r="Q789" s="1975"/>
      <c r="R789" s="1975"/>
      <c r="S789" s="1975"/>
      <c r="T789" s="1975"/>
      <c r="U789" s="1975"/>
      <c r="V789" s="1975"/>
      <c r="W789" s="1975"/>
      <c r="X789" s="1975"/>
      <c r="Y789" s="1975"/>
      <c r="Z789" s="1975"/>
      <c r="AA789" s="1975"/>
      <c r="AB789" s="1975"/>
      <c r="AC789" s="1975"/>
      <c r="AD789" s="1975"/>
      <c r="AE789" s="592"/>
      <c r="AF789" s="592"/>
      <c r="AG789" s="592"/>
      <c r="AH789" s="592"/>
      <c r="AI789" s="592"/>
      <c r="AJ789" s="592"/>
      <c r="AK789" s="592"/>
      <c r="AL789" s="592"/>
      <c r="AM789" s="611"/>
      <c r="AN789" s="595"/>
    </row>
    <row r="790" spans="1:81" s="549" customFormat="1" ht="12.75" customHeight="1">
      <c r="B790" s="614"/>
      <c r="C790" s="936"/>
      <c r="D790" s="659"/>
      <c r="E790" s="1975"/>
      <c r="F790" s="1975"/>
      <c r="G790" s="1975"/>
      <c r="H790" s="1975"/>
      <c r="I790" s="1975"/>
      <c r="J790" s="1975"/>
      <c r="K790" s="1975"/>
      <c r="L790" s="1975"/>
      <c r="M790" s="1975"/>
      <c r="N790" s="1975"/>
      <c r="O790" s="1975"/>
      <c r="P790" s="1975"/>
      <c r="Q790" s="1975"/>
      <c r="R790" s="1975"/>
      <c r="S790" s="1975"/>
      <c r="T790" s="1975"/>
      <c r="U790" s="1975"/>
      <c r="V790" s="1975"/>
      <c r="W790" s="1975"/>
      <c r="X790" s="1975"/>
      <c r="Y790" s="1975"/>
      <c r="Z790" s="1975"/>
      <c r="AA790" s="1975"/>
      <c r="AB790" s="1975"/>
      <c r="AC790" s="1975"/>
      <c r="AD790" s="1975"/>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2562</v>
      </c>
      <c r="E792" s="932"/>
      <c r="F792" s="932"/>
      <c r="G792" s="932"/>
      <c r="H792" s="1971" t="s">
        <v>935</v>
      </c>
      <c r="I792" s="1294"/>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2631</v>
      </c>
      <c r="AJ794" s="1999">
        <f>VLOOKUP($H$792,$AO$782:$AP$784,2,FALSE)</f>
        <v>0</v>
      </c>
      <c r="AK794" s="1264"/>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2632</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935</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65" customHeight="1">
      <c r="A798" s="549"/>
      <c r="B798" s="614"/>
      <c r="C798" s="936"/>
      <c r="D798" s="659" t="s">
        <v>134</v>
      </c>
      <c r="E798" s="1976" t="s">
        <v>2633</v>
      </c>
      <c r="F798" s="1977"/>
      <c r="G798" s="1977"/>
      <c r="H798" s="1977"/>
      <c r="I798" s="1977"/>
      <c r="J798" s="1977"/>
      <c r="K798" s="1977"/>
      <c r="L798" s="1977"/>
      <c r="M798" s="1977"/>
      <c r="N798" s="1977"/>
      <c r="O798" s="1977"/>
      <c r="P798" s="1977"/>
      <c r="Q798" s="1977"/>
      <c r="R798" s="1977"/>
      <c r="S798" s="1977"/>
      <c r="T798" s="1977"/>
      <c r="U798" s="1977"/>
      <c r="V798" s="1977"/>
      <c r="W798" s="1977"/>
      <c r="X798" s="1977"/>
      <c r="Y798" s="1977"/>
      <c r="Z798" s="1977"/>
      <c r="AA798" s="1977"/>
      <c r="AB798" s="1977"/>
      <c r="AC798" s="1977"/>
      <c r="AD798" s="1977"/>
      <c r="AE798" s="536"/>
      <c r="AF798" s="2002" t="s">
        <v>2288</v>
      </c>
      <c r="AG798" s="1977"/>
      <c r="AH798" s="1977"/>
      <c r="AI798" s="1977"/>
      <c r="AJ798" s="1977"/>
      <c r="AK798" s="1977"/>
      <c r="AL798" s="1977"/>
      <c r="AM798" s="611"/>
      <c r="AN798" s="680"/>
      <c r="AO798" s="609" t="s">
        <v>969</v>
      </c>
      <c r="AP798" s="549">
        <v>3</v>
      </c>
      <c r="AT798" s="670"/>
      <c r="AU798" s="670"/>
      <c r="AV798" s="670"/>
      <c r="AW798" s="670"/>
      <c r="AX798" s="670"/>
      <c r="AY798" s="670"/>
      <c r="AZ798" s="670"/>
    </row>
    <row r="799" spans="1:81" s="568" customFormat="1" ht="13.65" customHeight="1">
      <c r="A799" s="549"/>
      <c r="B799" s="614"/>
      <c r="C799" s="936"/>
      <c r="D799" s="659"/>
      <c r="E799" s="1977"/>
      <c r="F799" s="1977"/>
      <c r="G799" s="1977"/>
      <c r="H799" s="1977"/>
      <c r="I799" s="1977"/>
      <c r="J799" s="1977"/>
      <c r="K799" s="1977"/>
      <c r="L799" s="1977"/>
      <c r="M799" s="1977"/>
      <c r="N799" s="1977"/>
      <c r="O799" s="1977"/>
      <c r="P799" s="1977"/>
      <c r="Q799" s="1977"/>
      <c r="R799" s="1977"/>
      <c r="S799" s="1977"/>
      <c r="T799" s="1977"/>
      <c r="U799" s="1977"/>
      <c r="V799" s="1977"/>
      <c r="W799" s="1977"/>
      <c r="X799" s="1977"/>
      <c r="Y799" s="1977"/>
      <c r="Z799" s="1977"/>
      <c r="AA799" s="1977"/>
      <c r="AB799" s="1977"/>
      <c r="AC799" s="1977"/>
      <c r="AD799" s="1977"/>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1977"/>
      <c r="F800" s="1977"/>
      <c r="G800" s="1977"/>
      <c r="H800" s="1977"/>
      <c r="I800" s="1977"/>
      <c r="J800" s="1977"/>
      <c r="K800" s="1977"/>
      <c r="L800" s="1977"/>
      <c r="M800" s="1977"/>
      <c r="N800" s="1977"/>
      <c r="O800" s="1977"/>
      <c r="P800" s="1977"/>
      <c r="Q800" s="1977"/>
      <c r="R800" s="1977"/>
      <c r="S800" s="1977"/>
      <c r="T800" s="1977"/>
      <c r="U800" s="1977"/>
      <c r="V800" s="1977"/>
      <c r="W800" s="1977"/>
      <c r="X800" s="1977"/>
      <c r="Y800" s="1977"/>
      <c r="Z800" s="1977"/>
      <c r="AA800" s="1977"/>
      <c r="AB800" s="1977"/>
      <c r="AC800" s="1977"/>
      <c r="AD800" s="1977"/>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1977"/>
      <c r="F801" s="1977"/>
      <c r="G801" s="1977"/>
      <c r="H801" s="1977"/>
      <c r="I801" s="1977"/>
      <c r="J801" s="1977"/>
      <c r="K801" s="1977"/>
      <c r="L801" s="1977"/>
      <c r="M801" s="1977"/>
      <c r="N801" s="1977"/>
      <c r="O801" s="1977"/>
      <c r="P801" s="1977"/>
      <c r="Q801" s="1977"/>
      <c r="R801" s="1977"/>
      <c r="S801" s="1977"/>
      <c r="T801" s="1977"/>
      <c r="U801" s="1977"/>
      <c r="V801" s="1977"/>
      <c r="W801" s="1977"/>
      <c r="X801" s="1977"/>
      <c r="Y801" s="1977"/>
      <c r="Z801" s="1977"/>
      <c r="AA801" s="1977"/>
      <c r="AB801" s="1977"/>
      <c r="AC801" s="1977"/>
      <c r="AD801" s="1977"/>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2562</v>
      </c>
      <c r="E803" s="932"/>
      <c r="F803" s="932"/>
      <c r="G803" s="932"/>
      <c r="H803" s="1971" t="s">
        <v>935</v>
      </c>
      <c r="I803" s="1294"/>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2634</v>
      </c>
      <c r="AJ805" s="1999">
        <f>VLOOKUP($H$803,$AO$797:$AP$798,2,FALSE)</f>
        <v>0</v>
      </c>
      <c r="AK805" s="1264"/>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2635</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134</v>
      </c>
      <c r="E809" s="1976" t="s">
        <v>2636</v>
      </c>
      <c r="F809" s="1975"/>
      <c r="G809" s="1975"/>
      <c r="H809" s="1975"/>
      <c r="I809" s="1975"/>
      <c r="J809" s="1975"/>
      <c r="K809" s="1975"/>
      <c r="L809" s="1975"/>
      <c r="M809" s="1975"/>
      <c r="N809" s="1975"/>
      <c r="O809" s="1975"/>
      <c r="P809" s="1975"/>
      <c r="Q809" s="1975"/>
      <c r="R809" s="1975"/>
      <c r="S809" s="1975"/>
      <c r="T809" s="1975"/>
      <c r="U809" s="1975"/>
      <c r="V809" s="1975"/>
      <c r="W809" s="1975"/>
      <c r="X809" s="1975"/>
      <c r="Y809" s="1975"/>
      <c r="Z809" s="1975"/>
      <c r="AA809" s="1975"/>
      <c r="AB809" s="1975"/>
      <c r="AC809" s="1975"/>
      <c r="AD809" s="1975"/>
      <c r="AE809" s="550"/>
      <c r="AF809" s="2002" t="s">
        <v>2548</v>
      </c>
      <c r="AG809" s="1975"/>
      <c r="AH809" s="1975"/>
      <c r="AI809" s="1975"/>
      <c r="AJ809" s="1975"/>
      <c r="AK809" s="1975"/>
      <c r="AL809" s="1975"/>
      <c r="AN809" s="595"/>
    </row>
    <row r="810" spans="1:81" s="549" customFormat="1" ht="12.75" customHeight="1">
      <c r="B810" s="614"/>
      <c r="C810" s="684"/>
      <c r="D810" s="659"/>
      <c r="E810" s="1975"/>
      <c r="F810" s="1975"/>
      <c r="G810" s="1975"/>
      <c r="H810" s="1975"/>
      <c r="I810" s="1975"/>
      <c r="J810" s="1975"/>
      <c r="K810" s="1975"/>
      <c r="L810" s="1975"/>
      <c r="M810" s="1975"/>
      <c r="N810" s="1975"/>
      <c r="O810" s="1975"/>
      <c r="P810" s="1975"/>
      <c r="Q810" s="1975"/>
      <c r="R810" s="1975"/>
      <c r="S810" s="1975"/>
      <c r="T810" s="1975"/>
      <c r="U810" s="1975"/>
      <c r="V810" s="1975"/>
      <c r="W810" s="1975"/>
      <c r="X810" s="1975"/>
      <c r="Y810" s="1975"/>
      <c r="Z810" s="1975"/>
      <c r="AA810" s="1975"/>
      <c r="AB810" s="1975"/>
      <c r="AC810" s="1975"/>
      <c r="AD810" s="197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2562</v>
      </c>
      <c r="E812" s="932"/>
      <c r="F812" s="932"/>
      <c r="G812" s="932"/>
      <c r="H812" s="1971" t="s">
        <v>935</v>
      </c>
      <c r="I812" s="1294"/>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2637</v>
      </c>
      <c r="AJ814" s="1999">
        <f>IF(H812="Yes",5,0)</f>
        <v>0</v>
      </c>
      <c r="AK814" s="1264"/>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2638</v>
      </c>
      <c r="AK816" s="1999">
        <f>IF(($AJ$634+$AJ$653+$AJ$665+$AJ$700+$AJ$724+$AJ$738+$AJ$750+$AJ$766+$AJ$778+$AJ$794+AJ805+AJ814)&gt;10,10,($AJ$634+$AJ$653+$AJ$665+$AJ$700+$AJ$724+$AJ$738+$AJ$750+$AJ$766+$AJ$778+$AJ$794+AJ805+AJ814))</f>
        <v>10</v>
      </c>
      <c r="AL816" s="1263"/>
      <c r="AM816" s="1264"/>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121" t="s">
        <v>2639</v>
      </c>
      <c r="B819" s="1417"/>
      <c r="C819" s="1417"/>
      <c r="D819" s="1417"/>
      <c r="E819" s="1417"/>
      <c r="F819" s="1417"/>
      <c r="G819" s="1417"/>
      <c r="H819" s="1417"/>
      <c r="I819" s="1417"/>
      <c r="J819" s="1417"/>
      <c r="K819" s="1417"/>
      <c r="L819" s="1417"/>
      <c r="M819" s="1417"/>
      <c r="N819" s="1417"/>
      <c r="O819" s="1417"/>
      <c r="P819" s="1417"/>
      <c r="Q819" s="1417"/>
      <c r="R819" s="1417"/>
      <c r="S819" s="1417"/>
      <c r="T819" s="1417"/>
      <c r="U819" s="1417"/>
      <c r="V819" s="1417"/>
      <c r="W819" s="1417"/>
      <c r="X819" s="1417"/>
      <c r="Y819" s="1417"/>
      <c r="Z819" s="1417"/>
      <c r="AA819" s="1417"/>
      <c r="AB819" s="1417"/>
      <c r="AC819" s="1417"/>
      <c r="AD819" s="1417"/>
      <c r="AE819" s="1417"/>
      <c r="AF819" s="1417"/>
      <c r="AG819" s="1417"/>
      <c r="AH819" s="1417"/>
      <c r="AI819" s="1417"/>
      <c r="AJ819" s="1417"/>
      <c r="AK819" s="1417"/>
      <c r="AL819" s="1417"/>
      <c r="AM819" s="1417"/>
    </row>
    <row r="820" spans="1:43">
      <c r="A820" s="1536"/>
      <c r="B820" s="1536"/>
      <c r="C820" s="1536"/>
      <c r="D820" s="1536"/>
      <c r="E820" s="1536"/>
      <c r="F820" s="1536"/>
      <c r="G820" s="1536"/>
      <c r="H820" s="1536"/>
      <c r="I820" s="1536"/>
      <c r="J820" s="1536"/>
      <c r="K820" s="1536"/>
      <c r="L820" s="1536"/>
      <c r="M820" s="1536"/>
      <c r="N820" s="1536"/>
      <c r="O820" s="1536"/>
      <c r="P820" s="1536"/>
      <c r="Q820" s="1536"/>
      <c r="R820" s="1536"/>
      <c r="S820" s="1536"/>
      <c r="T820" s="1536"/>
      <c r="U820" s="1536"/>
      <c r="V820" s="1536"/>
      <c r="W820" s="1536"/>
      <c r="X820" s="1536"/>
      <c r="Y820" s="1536"/>
      <c r="Z820" s="1536"/>
      <c r="AA820" s="1536"/>
      <c r="AB820" s="1536"/>
      <c r="AC820" s="1536"/>
      <c r="AD820" s="1536"/>
      <c r="AE820" s="1536"/>
      <c r="AF820" s="1536"/>
      <c r="AG820" s="1536"/>
      <c r="AH820" s="1536"/>
      <c r="AI820" s="1536"/>
      <c r="AJ820" s="1536"/>
      <c r="AK820" s="1536"/>
      <c r="AL820" s="1536"/>
      <c r="AM820" s="1536"/>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018"/>
      <c r="B822" s="1536"/>
      <c r="C822" s="1536"/>
      <c r="D822" s="1536"/>
      <c r="E822" s="1536"/>
      <c r="F822" s="1536"/>
      <c r="G822" s="1536"/>
      <c r="H822" s="1536"/>
      <c r="I822" s="1536"/>
      <c r="J822" s="1536"/>
      <c r="K822" s="1536"/>
      <c r="L822" s="1536"/>
      <c r="M822" s="1536"/>
      <c r="N822" s="1536"/>
      <c r="O822" s="1536"/>
      <c r="P822" s="1536"/>
      <c r="Q822" s="1536"/>
      <c r="R822" s="1536"/>
      <c r="S822" s="1536"/>
      <c r="T822" s="1536"/>
      <c r="U822" s="1536"/>
      <c r="V822" s="1536"/>
      <c r="W822" s="1536"/>
      <c r="X822" s="1536"/>
      <c r="Y822" s="1536"/>
      <c r="Z822" s="1536"/>
      <c r="AA822" s="1536"/>
      <c r="AB822" s="1536"/>
      <c r="AC822" s="1536"/>
      <c r="AD822" s="1536"/>
      <c r="AE822" s="1536"/>
      <c r="AF822" s="1536"/>
      <c r="AG822" s="1536"/>
      <c r="AH822" s="1536"/>
      <c r="AI822" s="1536"/>
      <c r="AJ822" s="1536"/>
      <c r="AK822" s="1536"/>
      <c r="AL822" s="1536"/>
      <c r="AM822" s="1536"/>
      <c r="AP822" s="812"/>
      <c r="AQ822" s="812"/>
    </row>
    <row r="823" spans="1:43">
      <c r="A823" s="2018"/>
      <c r="B823" s="1536"/>
      <c r="C823" s="1536"/>
      <c r="D823" s="1536"/>
      <c r="E823" s="1536"/>
      <c r="F823" s="1536"/>
      <c r="G823" s="1536"/>
      <c r="H823" s="1536"/>
      <c r="I823" s="1536"/>
      <c r="J823" s="1536"/>
      <c r="K823" s="1536"/>
      <c r="L823" s="1536"/>
      <c r="M823" s="1536"/>
      <c r="N823" s="1536"/>
      <c r="O823" s="1536"/>
      <c r="P823" s="1536"/>
      <c r="Q823" s="1536"/>
      <c r="R823" s="1536"/>
      <c r="S823" s="1536"/>
      <c r="T823" s="1536"/>
      <c r="U823" s="1536"/>
      <c r="V823" s="1536"/>
      <c r="W823" s="1536"/>
      <c r="X823" s="1536"/>
      <c r="Y823" s="1536"/>
      <c r="Z823" s="1536"/>
      <c r="AA823" s="1536"/>
      <c r="AB823" s="1536"/>
      <c r="AC823" s="1536"/>
      <c r="AD823" s="1536"/>
      <c r="AE823" s="1536"/>
      <c r="AF823" s="1536"/>
      <c r="AG823" s="1536"/>
      <c r="AH823" s="1536"/>
      <c r="AI823" s="1536"/>
      <c r="AJ823" s="1536"/>
      <c r="AK823" s="1536"/>
      <c r="AL823" s="1536"/>
      <c r="AM823" s="1536"/>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1969" t="s">
        <v>2640</v>
      </c>
      <c r="U824" s="1417"/>
      <c r="V824" s="1417"/>
      <c r="W824" s="1417"/>
      <c r="X824" s="1417"/>
      <c r="Y824" s="1423"/>
      <c r="Z824" s="1969" t="s">
        <v>2641</v>
      </c>
      <c r="AA824" s="1417"/>
      <c r="AB824" s="1417"/>
      <c r="AC824" s="1417"/>
      <c r="AD824" s="1417"/>
      <c r="AE824" s="1423"/>
      <c r="AF824" s="1969" t="s">
        <v>2642</v>
      </c>
      <c r="AG824" s="1417"/>
      <c r="AH824" s="1417"/>
      <c r="AI824" s="1417"/>
      <c r="AJ824" s="1417"/>
      <c r="AK824" s="1423"/>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1404"/>
      <c r="U825" s="1405"/>
      <c r="V825" s="1405"/>
      <c r="W825" s="1405"/>
      <c r="X825" s="1405"/>
      <c r="Y825" s="1296"/>
      <c r="Z825" s="1404"/>
      <c r="AA825" s="1405"/>
      <c r="AB825" s="1405"/>
      <c r="AC825" s="1405"/>
      <c r="AD825" s="1405"/>
      <c r="AE825" s="1296"/>
      <c r="AF825" s="1404"/>
      <c r="AG825" s="1405"/>
      <c r="AH825" s="1405"/>
      <c r="AI825" s="1405"/>
      <c r="AJ825" s="1405"/>
      <c r="AK825" s="1296"/>
      <c r="AL825" s="814"/>
      <c r="AM825" s="594"/>
      <c r="AO825" s="812"/>
      <c r="AP825" s="812"/>
      <c r="AQ825" s="812"/>
    </row>
    <row r="826" spans="1:43">
      <c r="A826" s="815" t="s">
        <v>165</v>
      </c>
      <c r="B826" s="2007" t="str">
        <f>B7</f>
        <v xml:space="preserve">Acquisition/Rehabilitation Project Priorities </v>
      </c>
      <c r="C826" s="1263"/>
      <c r="D826" s="1263"/>
      <c r="E826" s="1263"/>
      <c r="F826" s="1263"/>
      <c r="G826" s="1263"/>
      <c r="H826" s="1263"/>
      <c r="I826" s="1263"/>
      <c r="J826" s="1263"/>
      <c r="K826" s="1263"/>
      <c r="L826" s="1263"/>
      <c r="M826" s="1263"/>
      <c r="N826" s="1263"/>
      <c r="O826" s="1263"/>
      <c r="P826" s="1263"/>
      <c r="Q826" s="1263"/>
      <c r="R826" s="1263"/>
      <c r="S826" s="1264"/>
      <c r="T826" s="2057">
        <f>AK61</f>
        <v>18</v>
      </c>
      <c r="U826" s="1263"/>
      <c r="V826" s="1263"/>
      <c r="W826" s="1263"/>
      <c r="X826" s="1263"/>
      <c r="Y826" s="1264"/>
      <c r="Z826" s="1969">
        <v>20</v>
      </c>
      <c r="AA826" s="1263"/>
      <c r="AB826" s="1263"/>
      <c r="AC826" s="1263"/>
      <c r="AD826" s="1263"/>
      <c r="AE826" s="1264"/>
      <c r="AF826" s="1998">
        <f>IF(T826&gt;Z826,Z826,T826)</f>
        <v>18</v>
      </c>
      <c r="AG826" s="1263"/>
      <c r="AH826" s="1263"/>
      <c r="AI826" s="1263"/>
      <c r="AJ826" s="1263"/>
      <c r="AK826" s="1264"/>
      <c r="AL826" s="814"/>
      <c r="AM826" s="594"/>
      <c r="AO826" s="812"/>
      <c r="AP826" s="812"/>
      <c r="AQ826" s="812"/>
    </row>
    <row r="827" spans="1:43">
      <c r="A827" s="815" t="s">
        <v>2493</v>
      </c>
      <c r="B827" s="2007" t="s">
        <v>734</v>
      </c>
      <c r="C827" s="1263"/>
      <c r="D827" s="1263"/>
      <c r="E827" s="1263"/>
      <c r="F827" s="1263"/>
      <c r="G827" s="1263"/>
      <c r="H827" s="1263"/>
      <c r="I827" s="1263"/>
      <c r="J827" s="1263"/>
      <c r="K827" s="1263"/>
      <c r="L827" s="1263"/>
      <c r="M827" s="1263"/>
      <c r="N827" s="1263"/>
      <c r="O827" s="1263"/>
      <c r="P827" s="1263"/>
      <c r="Q827" s="1263"/>
      <c r="R827" s="1263"/>
      <c r="S827" s="1264"/>
      <c r="T827" s="2057">
        <f>AK83</f>
        <v>0</v>
      </c>
      <c r="U827" s="1263"/>
      <c r="V827" s="1263"/>
      <c r="W827" s="1263"/>
      <c r="X827" s="1263"/>
      <c r="Y827" s="1264"/>
      <c r="Z827" s="1969">
        <v>10</v>
      </c>
      <c r="AA827" s="1263"/>
      <c r="AB827" s="1263"/>
      <c r="AC827" s="1263"/>
      <c r="AD827" s="1263"/>
      <c r="AE827" s="1264"/>
      <c r="AF827" s="1998">
        <f>IF(T827&gt;Z827,Z827,T827)</f>
        <v>0</v>
      </c>
      <c r="AG827" s="1263"/>
      <c r="AH827" s="1263"/>
      <c r="AI827" s="1263"/>
      <c r="AJ827" s="1263"/>
      <c r="AK827" s="1264"/>
      <c r="AL827" s="814"/>
      <c r="AM827" s="594"/>
      <c r="AO827" s="812"/>
      <c r="AP827" s="812"/>
      <c r="AQ827" s="812"/>
    </row>
    <row r="828" spans="1:43">
      <c r="A828" s="815" t="s">
        <v>2502</v>
      </c>
      <c r="B828" s="2007" t="s">
        <v>2242</v>
      </c>
      <c r="C828" s="1263"/>
      <c r="D828" s="1263"/>
      <c r="E828" s="1263"/>
      <c r="F828" s="1263"/>
      <c r="G828" s="1263"/>
      <c r="H828" s="1263"/>
      <c r="I828" s="1263"/>
      <c r="J828" s="1263"/>
      <c r="K828" s="1263"/>
      <c r="L828" s="1263"/>
      <c r="M828" s="1263"/>
      <c r="N828" s="1263"/>
      <c r="O828" s="1263"/>
      <c r="P828" s="1263"/>
      <c r="Q828" s="1263"/>
      <c r="R828" s="1263"/>
      <c r="S828" s="1264"/>
      <c r="T828" s="2057">
        <f ca="1">AK108</f>
        <v>20</v>
      </c>
      <c r="U828" s="1263"/>
      <c r="V828" s="1263"/>
      <c r="W828" s="1263"/>
      <c r="X828" s="1263"/>
      <c r="Y828" s="1264"/>
      <c r="Z828" s="1969">
        <v>20</v>
      </c>
      <c r="AA828" s="1263"/>
      <c r="AB828" s="1263"/>
      <c r="AC828" s="1263"/>
      <c r="AD828" s="1263"/>
      <c r="AE828" s="1264"/>
      <c r="AF828" s="1998">
        <f ca="1">IF(T828&gt;Z828,Z828,T828)</f>
        <v>20</v>
      </c>
      <c r="AG828" s="1263"/>
      <c r="AH828" s="1263"/>
      <c r="AI828" s="1263"/>
      <c r="AJ828" s="1263"/>
      <c r="AK828" s="1264"/>
      <c r="AL828" s="814"/>
      <c r="AM828" s="594"/>
      <c r="AO828" s="812"/>
      <c r="AP828" s="812"/>
      <c r="AQ828" s="812"/>
    </row>
    <row r="829" spans="1:43">
      <c r="A829" s="815" t="s">
        <v>2643</v>
      </c>
      <c r="B829" s="2007" t="s">
        <v>2254</v>
      </c>
      <c r="C829" s="1263"/>
      <c r="D829" s="1263"/>
      <c r="E829" s="1263"/>
      <c r="F829" s="1263"/>
      <c r="G829" s="1263"/>
      <c r="H829" s="1263"/>
      <c r="I829" s="1263"/>
      <c r="J829" s="1263"/>
      <c r="K829" s="1263"/>
      <c r="L829" s="1263"/>
      <c r="M829" s="1263"/>
      <c r="N829" s="1263"/>
      <c r="O829" s="1263"/>
      <c r="P829" s="1263"/>
      <c r="Q829" s="1263"/>
      <c r="R829" s="1263"/>
      <c r="S829" s="1264"/>
      <c r="T829" s="2057">
        <f>AK142</f>
        <v>10</v>
      </c>
      <c r="U829" s="1263"/>
      <c r="V829" s="1263"/>
      <c r="W829" s="1263"/>
      <c r="X829" s="1263"/>
      <c r="Y829" s="1264"/>
      <c r="Z829" s="1969">
        <v>10</v>
      </c>
      <c r="AA829" s="1263"/>
      <c r="AB829" s="1263"/>
      <c r="AC829" s="1263"/>
      <c r="AD829" s="1263"/>
      <c r="AE829" s="1264"/>
      <c r="AF829" s="1998">
        <f>IF(T829&gt;Z829,Z829,T829)</f>
        <v>10</v>
      </c>
      <c r="AG829" s="1263"/>
      <c r="AH829" s="1263"/>
      <c r="AI829" s="1263"/>
      <c r="AJ829" s="1263"/>
      <c r="AK829" s="1264"/>
      <c r="AL829" s="814"/>
      <c r="AM829" s="594"/>
      <c r="AO829" s="812"/>
      <c r="AP829" s="812"/>
      <c r="AQ829" s="812"/>
    </row>
    <row r="830" spans="1:43">
      <c r="A830" s="816" t="s">
        <v>2644</v>
      </c>
      <c r="B830" s="2007" t="s">
        <v>2645</v>
      </c>
      <c r="C830" s="1263"/>
      <c r="D830" s="1263"/>
      <c r="E830" s="1263"/>
      <c r="F830" s="1263"/>
      <c r="G830" s="1263"/>
      <c r="H830" s="1263"/>
      <c r="I830" s="1263"/>
      <c r="J830" s="1263"/>
      <c r="K830" s="1263"/>
      <c r="L830" s="1263"/>
      <c r="M830" s="1263"/>
      <c r="N830" s="1263"/>
      <c r="O830" s="1263"/>
      <c r="P830" s="1263"/>
      <c r="Q830" s="1263"/>
      <c r="R830" s="1263"/>
      <c r="S830" s="1264"/>
      <c r="T830" s="2015">
        <f>SUM(T831:Y832)</f>
        <v>10</v>
      </c>
      <c r="U830" s="1263"/>
      <c r="V830" s="1263"/>
      <c r="W830" s="1263"/>
      <c r="X830" s="1263"/>
      <c r="Y830" s="1264"/>
      <c r="Z830" s="1998">
        <v>10</v>
      </c>
      <c r="AA830" s="1263"/>
      <c r="AB830" s="1263"/>
      <c r="AC830" s="1263"/>
      <c r="AD830" s="1263"/>
      <c r="AE830" s="1264"/>
      <c r="AF830" s="1998">
        <f>IF(T830&gt;Z830,Z830,T830)</f>
        <v>10</v>
      </c>
      <c r="AG830" s="1263"/>
      <c r="AH830" s="1263"/>
      <c r="AI830" s="1263"/>
      <c r="AJ830" s="1263"/>
      <c r="AK830" s="1264"/>
      <c r="AL830" s="814"/>
      <c r="AM830" s="594"/>
    </row>
    <row r="831" spans="1:43">
      <c r="A831" s="535"/>
      <c r="B831" s="599"/>
      <c r="C831" s="1991" t="s">
        <v>2646</v>
      </c>
      <c r="D831" s="1263"/>
      <c r="E831" s="1263"/>
      <c r="F831" s="1263"/>
      <c r="G831" s="1263"/>
      <c r="H831" s="1263"/>
      <c r="I831" s="1263"/>
      <c r="J831" s="1263"/>
      <c r="K831" s="1263"/>
      <c r="L831" s="1263"/>
      <c r="M831" s="1263"/>
      <c r="N831" s="1263"/>
      <c r="O831" s="1263"/>
      <c r="P831" s="1263"/>
      <c r="Q831" s="1263"/>
      <c r="R831" s="1263"/>
      <c r="S831" s="1264"/>
      <c r="T831" s="2013">
        <f>AJ165</f>
        <v>7</v>
      </c>
      <c r="U831" s="1263"/>
      <c r="V831" s="1263"/>
      <c r="W831" s="1263"/>
      <c r="X831" s="1263"/>
      <c r="Y831" s="1264"/>
      <c r="Z831" s="1999">
        <v>7</v>
      </c>
      <c r="AA831" s="1263"/>
      <c r="AB831" s="1263"/>
      <c r="AC831" s="1263"/>
      <c r="AD831" s="1263"/>
      <c r="AE831" s="1264"/>
      <c r="AF831" s="2017"/>
      <c r="AG831" s="1263"/>
      <c r="AH831" s="1263"/>
      <c r="AI831" s="1263"/>
      <c r="AJ831" s="1263"/>
      <c r="AK831" s="1264"/>
      <c r="AL831" s="814"/>
      <c r="AM831" s="594"/>
    </row>
    <row r="832" spans="1:43">
      <c r="A832" s="598"/>
      <c r="B832" s="599"/>
      <c r="C832" s="1991" t="s">
        <v>2060</v>
      </c>
      <c r="D832" s="1263"/>
      <c r="E832" s="1263"/>
      <c r="F832" s="1263"/>
      <c r="G832" s="1263"/>
      <c r="H832" s="1263"/>
      <c r="I832" s="1263"/>
      <c r="J832" s="1263"/>
      <c r="K832" s="1263"/>
      <c r="L832" s="1263"/>
      <c r="M832" s="1263"/>
      <c r="N832" s="1263"/>
      <c r="O832" s="1263"/>
      <c r="P832" s="1263"/>
      <c r="Q832" s="1263"/>
      <c r="R832" s="1263"/>
      <c r="S832" s="1264"/>
      <c r="T832" s="2013">
        <f>AJ179</f>
        <v>3</v>
      </c>
      <c r="U832" s="1263"/>
      <c r="V832" s="1263"/>
      <c r="W832" s="1263"/>
      <c r="X832" s="1263"/>
      <c r="Y832" s="1264"/>
      <c r="Z832" s="1999">
        <v>3</v>
      </c>
      <c r="AA832" s="1263"/>
      <c r="AB832" s="1263"/>
      <c r="AC832" s="1263"/>
      <c r="AD832" s="1263"/>
      <c r="AE832" s="1264"/>
      <c r="AF832" s="2017"/>
      <c r="AG832" s="1263"/>
      <c r="AH832" s="1263"/>
      <c r="AI832" s="1263"/>
      <c r="AJ832" s="1263"/>
      <c r="AK832" s="1264"/>
      <c r="AL832" s="814"/>
      <c r="AM832" s="594"/>
      <c r="AO832" s="549"/>
    </row>
    <row r="833" spans="1:81">
      <c r="A833" s="816" t="s">
        <v>2300</v>
      </c>
      <c r="B833" s="2007" t="s">
        <v>2647</v>
      </c>
      <c r="C833" s="1263"/>
      <c r="D833" s="1263"/>
      <c r="E833" s="1263"/>
      <c r="F833" s="1263"/>
      <c r="G833" s="1263"/>
      <c r="H833" s="1263"/>
      <c r="I833" s="1263"/>
      <c r="J833" s="1263"/>
      <c r="K833" s="1263"/>
      <c r="L833" s="1263"/>
      <c r="M833" s="1263"/>
      <c r="N833" s="1263"/>
      <c r="O833" s="1263"/>
      <c r="P833" s="1263"/>
      <c r="Q833" s="1263"/>
      <c r="R833" s="1263"/>
      <c r="S833" s="1264"/>
      <c r="T833" s="2015">
        <f>AK190</f>
        <v>0</v>
      </c>
      <c r="U833" s="1263"/>
      <c r="V833" s="1263"/>
      <c r="W833" s="1263"/>
      <c r="X833" s="1263"/>
      <c r="Y833" s="1264"/>
      <c r="Z833" s="1998">
        <v>10</v>
      </c>
      <c r="AA833" s="1263"/>
      <c r="AB833" s="1263"/>
      <c r="AC833" s="1263"/>
      <c r="AD833" s="1263"/>
      <c r="AE833" s="1264"/>
      <c r="AF833" s="1998">
        <f>IF(T833&gt;Z833,Z833,T833)</f>
        <v>0</v>
      </c>
      <c r="AG833" s="1263"/>
      <c r="AH833" s="1263"/>
      <c r="AI833" s="1263"/>
      <c r="AJ833" s="1263"/>
      <c r="AK833" s="1264"/>
      <c r="AL833" s="814"/>
      <c r="AM833" s="594"/>
    </row>
    <row r="834" spans="1:81" hidden="1">
      <c r="A834" s="815" t="s">
        <v>2310</v>
      </c>
      <c r="B834" s="2007" t="s">
        <v>2311</v>
      </c>
      <c r="C834" s="1263"/>
      <c r="D834" s="1263"/>
      <c r="E834" s="1263"/>
      <c r="F834" s="1263"/>
      <c r="G834" s="1263"/>
      <c r="H834" s="1263"/>
      <c r="I834" s="1263"/>
      <c r="J834" s="1263"/>
      <c r="K834" s="1263"/>
      <c r="L834" s="1263"/>
      <c r="M834" s="1263"/>
      <c r="N834" s="1263"/>
      <c r="O834" s="1263"/>
      <c r="P834" s="1263"/>
      <c r="Q834" s="1263"/>
      <c r="R834" s="1263"/>
      <c r="S834" s="1264"/>
      <c r="T834" s="2015">
        <f>AK272</f>
        <v>8</v>
      </c>
      <c r="U834" s="1263"/>
      <c r="V834" s="1263"/>
      <c r="W834" s="1263"/>
      <c r="X834" s="1263"/>
      <c r="Y834" s="1264"/>
      <c r="Z834" s="1969">
        <v>8</v>
      </c>
      <c r="AA834" s="1263"/>
      <c r="AB834" s="1263"/>
      <c r="AC834" s="1263"/>
      <c r="AD834" s="1263"/>
      <c r="AE834" s="1264"/>
      <c r="AF834" s="1998"/>
      <c r="AG834" s="1263"/>
      <c r="AH834" s="1263"/>
      <c r="AI834" s="1263"/>
      <c r="AJ834" s="1263"/>
      <c r="AK834" s="1264"/>
      <c r="AL834" s="814"/>
      <c r="AM834" s="594"/>
    </row>
    <row r="835" spans="1:81" s="534" customFormat="1" hidden="1">
      <c r="A835" s="816" t="s">
        <v>1123</v>
      </c>
      <c r="B835" s="2007" t="s">
        <v>2648</v>
      </c>
      <c r="C835" s="1263"/>
      <c r="D835" s="1263"/>
      <c r="E835" s="1263"/>
      <c r="F835" s="1263"/>
      <c r="G835" s="1263"/>
      <c r="H835" s="1263"/>
      <c r="I835" s="1263"/>
      <c r="J835" s="1263"/>
      <c r="K835" s="1263"/>
      <c r="L835" s="1263"/>
      <c r="M835" s="1263"/>
      <c r="N835" s="1263"/>
      <c r="O835" s="1263"/>
      <c r="P835" s="1263"/>
      <c r="Q835" s="1263"/>
      <c r="R835" s="1263"/>
      <c r="S835" s="1264"/>
      <c r="T835" s="2015">
        <f>IF(AK548&gt;5,5,AK548)</f>
        <v>0</v>
      </c>
      <c r="U835" s="1263"/>
      <c r="V835" s="1263"/>
      <c r="W835" s="1263"/>
      <c r="X835" s="1263"/>
      <c r="Y835" s="1264"/>
      <c r="Z835" s="1998">
        <v>5</v>
      </c>
      <c r="AA835" s="1263"/>
      <c r="AB835" s="1263"/>
      <c r="AC835" s="1263"/>
      <c r="AD835" s="1263"/>
      <c r="AE835" s="1264"/>
      <c r="AF835" s="1998"/>
      <c r="AG835" s="1263"/>
      <c r="AH835" s="1263"/>
      <c r="AI835" s="1263"/>
      <c r="AJ835" s="1263"/>
      <c r="AK835" s="1264"/>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007" t="str">
        <f>B275</f>
        <v>Readiness to Proceed</v>
      </c>
      <c r="C836" s="1263"/>
      <c r="D836" s="1263"/>
      <c r="E836" s="1263"/>
      <c r="F836" s="1263"/>
      <c r="G836" s="1263"/>
      <c r="H836" s="1263"/>
      <c r="I836" s="1263"/>
      <c r="J836" s="1263"/>
      <c r="K836" s="1263"/>
      <c r="L836" s="1263"/>
      <c r="M836" s="1263"/>
      <c r="N836" s="1263"/>
      <c r="O836" s="1263"/>
      <c r="P836" s="1263"/>
      <c r="Q836" s="1263"/>
      <c r="R836" s="1263"/>
      <c r="S836" s="1264"/>
      <c r="T836" s="2015">
        <f>AK298</f>
        <v>10</v>
      </c>
      <c r="U836" s="1263"/>
      <c r="V836" s="1263"/>
      <c r="W836" s="1263"/>
      <c r="X836" s="1263"/>
      <c r="Y836" s="1264"/>
      <c r="Z836" s="1998">
        <v>10</v>
      </c>
      <c r="AA836" s="1263"/>
      <c r="AB836" s="1263"/>
      <c r="AC836" s="1263"/>
      <c r="AD836" s="1263"/>
      <c r="AE836" s="1264"/>
      <c r="AF836" s="1998">
        <f>IF(T836&gt;Z836,Z836,T836)</f>
        <v>10</v>
      </c>
      <c r="AG836" s="1263"/>
      <c r="AH836" s="1263"/>
      <c r="AI836" s="1263"/>
      <c r="AJ836" s="1263"/>
      <c r="AK836" s="1264"/>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007" t="str">
        <f>B301</f>
        <v>Access to Opportunity</v>
      </c>
      <c r="C837" s="1263"/>
      <c r="D837" s="1263"/>
      <c r="E837" s="1263"/>
      <c r="F837" s="1263"/>
      <c r="G837" s="1263"/>
      <c r="H837" s="1263"/>
      <c r="I837" s="1263"/>
      <c r="J837" s="1263"/>
      <c r="K837" s="1263"/>
      <c r="L837" s="1263"/>
      <c r="M837" s="1263"/>
      <c r="N837" s="1263"/>
      <c r="O837" s="1263"/>
      <c r="P837" s="1263"/>
      <c r="Q837" s="1263"/>
      <c r="R837" s="1263"/>
      <c r="S837" s="1264"/>
      <c r="T837" s="2015">
        <f>AK351</f>
        <v>0</v>
      </c>
      <c r="U837" s="1263"/>
      <c r="V837" s="1263"/>
      <c r="W837" s="1263"/>
      <c r="X837" s="1263"/>
      <c r="Y837" s="1264"/>
      <c r="Z837" s="1998">
        <v>10</v>
      </c>
      <c r="AA837" s="1263"/>
      <c r="AB837" s="1263"/>
      <c r="AC837" s="1263"/>
      <c r="AD837" s="1263"/>
      <c r="AE837" s="1264"/>
      <c r="AF837" s="1998">
        <f>IF(T837&gt;Z837,Z837,T837)</f>
        <v>0</v>
      </c>
      <c r="AG837" s="1263"/>
      <c r="AH837" s="1263"/>
      <c r="AI837" s="1263"/>
      <c r="AJ837" s="1263"/>
      <c r="AK837" s="1264"/>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2649</v>
      </c>
      <c r="D838" s="819"/>
      <c r="E838" s="819"/>
      <c r="F838" s="819"/>
      <c r="G838" s="819"/>
      <c r="H838" s="819"/>
      <c r="I838" s="819"/>
      <c r="J838" s="819"/>
      <c r="K838" s="819"/>
      <c r="L838" s="819"/>
      <c r="M838" s="819"/>
      <c r="N838" s="819"/>
      <c r="O838" s="819"/>
      <c r="P838" s="819"/>
      <c r="Q838" s="819"/>
      <c r="R838" s="817"/>
      <c r="S838" s="820"/>
      <c r="T838" s="2013">
        <f>AK351</f>
        <v>0</v>
      </c>
      <c r="U838" s="1263"/>
      <c r="V838" s="1263"/>
      <c r="W838" s="1263"/>
      <c r="X838" s="1263"/>
      <c r="Y838" s="1264"/>
      <c r="Z838" s="1999">
        <v>20</v>
      </c>
      <c r="AA838" s="1263"/>
      <c r="AB838" s="1263"/>
      <c r="AC838" s="1263"/>
      <c r="AD838" s="1263"/>
      <c r="AE838" s="1264"/>
      <c r="AF838" s="2017"/>
      <c r="AG838" s="1263"/>
      <c r="AH838" s="1263"/>
      <c r="AI838" s="1263"/>
      <c r="AJ838" s="1263"/>
      <c r="AK838" s="1264"/>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007" t="s">
        <v>2399</v>
      </c>
      <c r="C839" s="1263"/>
      <c r="D839" s="1263"/>
      <c r="E839" s="1263"/>
      <c r="F839" s="1263"/>
      <c r="G839" s="1263"/>
      <c r="H839" s="1263"/>
      <c r="I839" s="1263"/>
      <c r="J839" s="1263"/>
      <c r="K839" s="1263"/>
      <c r="L839" s="1263"/>
      <c r="M839" s="1263"/>
      <c r="N839" s="1263"/>
      <c r="O839" s="1263"/>
      <c r="P839" s="1263"/>
      <c r="Q839" s="1263"/>
      <c r="R839" s="1263"/>
      <c r="S839" s="1264"/>
      <c r="T839" s="2015">
        <f>AK482</f>
        <v>10</v>
      </c>
      <c r="U839" s="1263"/>
      <c r="V839" s="1263"/>
      <c r="W839" s="1263"/>
      <c r="X839" s="1263"/>
      <c r="Y839" s="1264"/>
      <c r="Z839" s="1998">
        <v>10</v>
      </c>
      <c r="AA839" s="1263"/>
      <c r="AB839" s="1263"/>
      <c r="AC839" s="1263"/>
      <c r="AD839" s="1263"/>
      <c r="AE839" s="1264"/>
      <c r="AF839" s="1998">
        <f>IF(T839&gt;Z839,Z839,T839)</f>
        <v>10</v>
      </c>
      <c r="AG839" s="1263"/>
      <c r="AH839" s="1263"/>
      <c r="AI839" s="1263"/>
      <c r="AJ839" s="1263"/>
      <c r="AK839" s="1264"/>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007" t="s">
        <v>2513</v>
      </c>
      <c r="C840" s="1263"/>
      <c r="D840" s="1263"/>
      <c r="E840" s="1263"/>
      <c r="F840" s="1263"/>
      <c r="G840" s="1263"/>
      <c r="H840" s="1263"/>
      <c r="I840" s="1263"/>
      <c r="J840" s="1263"/>
      <c r="K840" s="1263"/>
      <c r="L840" s="1263"/>
      <c r="M840" s="1263"/>
      <c r="N840" s="1263"/>
      <c r="O840" s="1263"/>
      <c r="P840" s="1263"/>
      <c r="Q840" s="1263"/>
      <c r="R840" s="1263"/>
      <c r="S840" s="1264"/>
      <c r="T840" s="2015">
        <f>AK572</f>
        <v>12</v>
      </c>
      <c r="U840" s="1263"/>
      <c r="V840" s="1263"/>
      <c r="W840" s="1263"/>
      <c r="X840" s="1263"/>
      <c r="Y840" s="1264"/>
      <c r="Z840" s="1998">
        <v>12</v>
      </c>
      <c r="AA840" s="1263"/>
      <c r="AB840" s="1263"/>
      <c r="AC840" s="1263"/>
      <c r="AD840" s="1263"/>
      <c r="AE840" s="1264"/>
      <c r="AF840" s="1998">
        <f>IF(T840&gt;Z840,Z840,T840)</f>
        <v>12</v>
      </c>
      <c r="AG840" s="1263"/>
      <c r="AH840" s="1263"/>
      <c r="AI840" s="1263"/>
      <c r="AJ840" s="1263"/>
      <c r="AK840" s="1264"/>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007" t="s">
        <v>2650</v>
      </c>
      <c r="C841" s="1263"/>
      <c r="D841" s="1263"/>
      <c r="E841" s="1263"/>
      <c r="F841" s="1263"/>
      <c r="G841" s="1263"/>
      <c r="H841" s="1263"/>
      <c r="I841" s="1263"/>
      <c r="J841" s="1263"/>
      <c r="K841" s="1263"/>
      <c r="L841" s="1263"/>
      <c r="M841" s="1263"/>
      <c r="N841" s="1263"/>
      <c r="O841" s="1263"/>
      <c r="P841" s="1263"/>
      <c r="Q841" s="1263"/>
      <c r="R841" s="1263"/>
      <c r="S841" s="1264"/>
      <c r="T841" s="2015">
        <f>AK816</f>
        <v>10</v>
      </c>
      <c r="U841" s="1263"/>
      <c r="V841" s="1263"/>
      <c r="W841" s="1263"/>
      <c r="X841" s="1263"/>
      <c r="Y841" s="1264"/>
      <c r="Z841" s="1998">
        <v>10</v>
      </c>
      <c r="AA841" s="1263"/>
      <c r="AB841" s="1263"/>
      <c r="AC841" s="1263"/>
      <c r="AD841" s="1263"/>
      <c r="AE841" s="1264"/>
      <c r="AF841" s="1998">
        <f>IF(T841&gt;Z841,Z841,T841)</f>
        <v>10</v>
      </c>
      <c r="AG841" s="1263"/>
      <c r="AH841" s="1263"/>
      <c r="AI841" s="1263"/>
      <c r="AJ841" s="1263"/>
      <c r="AK841" s="1264"/>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2651</v>
      </c>
      <c r="B842" s="696" t="s">
        <v>2652</v>
      </c>
      <c r="C842" s="696"/>
      <c r="D842" s="696"/>
      <c r="E842" s="696"/>
      <c r="F842" s="696"/>
      <c r="G842" s="696"/>
      <c r="H842" s="696"/>
      <c r="I842" s="696"/>
      <c r="J842" s="696"/>
      <c r="K842" s="696"/>
      <c r="L842" s="696"/>
      <c r="M842" s="696"/>
      <c r="N842" s="696"/>
      <c r="O842" s="696"/>
      <c r="P842" s="696"/>
      <c r="Q842" s="696"/>
      <c r="R842" s="696"/>
      <c r="S842" s="1195"/>
      <c r="T842" s="2065"/>
      <c r="U842" s="1374"/>
      <c r="V842" s="1374"/>
      <c r="W842" s="1374"/>
      <c r="X842" s="1374"/>
      <c r="Y842" s="1375"/>
      <c r="Z842" s="1999" t="s">
        <v>2653</v>
      </c>
      <c r="AA842" s="1263"/>
      <c r="AB842" s="1263"/>
      <c r="AC842" s="1263"/>
      <c r="AD842" s="1263"/>
      <c r="AE842" s="1264"/>
      <c r="AF842" s="1998">
        <f>ABS(T842)</f>
        <v>0</v>
      </c>
      <c r="AG842" s="1263"/>
      <c r="AH842" s="1263"/>
      <c r="AI842" s="1263"/>
      <c r="AJ842" s="1263"/>
      <c r="AK842" s="1264"/>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6" customHeight="1">
      <c r="A843" s="2107" t="s">
        <v>2654</v>
      </c>
      <c r="B843" s="1417"/>
      <c r="C843" s="1417"/>
      <c r="D843" s="1417"/>
      <c r="E843" s="1417"/>
      <c r="F843" s="1417"/>
      <c r="G843" s="1417"/>
      <c r="H843" s="1417"/>
      <c r="I843" s="1417"/>
      <c r="J843" s="1417"/>
      <c r="K843" s="1417"/>
      <c r="L843" s="1417"/>
      <c r="M843" s="1417"/>
      <c r="N843" s="1417"/>
      <c r="O843" s="1417"/>
      <c r="P843" s="1417"/>
      <c r="Q843" s="1417"/>
      <c r="R843" s="1417"/>
      <c r="S843" s="1417"/>
      <c r="T843" s="1417"/>
      <c r="U843" s="1417"/>
      <c r="V843" s="1417"/>
      <c r="W843" s="1417"/>
      <c r="X843" s="1417"/>
      <c r="Y843" s="1417"/>
      <c r="Z843" s="1417"/>
      <c r="AA843" s="1417"/>
      <c r="AB843" s="1417"/>
      <c r="AC843" s="1417"/>
      <c r="AD843" s="1417"/>
      <c r="AE843" s="1423"/>
      <c r="AF843" s="2102">
        <f ca="1">SUM(AF826:AK841)-AF842</f>
        <v>100</v>
      </c>
      <c r="AG843" s="1417"/>
      <c r="AH843" s="1417"/>
      <c r="AI843" s="1417"/>
      <c r="AJ843" s="1417"/>
      <c r="AK843" s="1423"/>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6" customHeight="1">
      <c r="A844" s="1404"/>
      <c r="B844" s="1405"/>
      <c r="C844" s="1405"/>
      <c r="D844" s="1405"/>
      <c r="E844" s="1405"/>
      <c r="F844" s="1405"/>
      <c r="G844" s="1405"/>
      <c r="H844" s="1405"/>
      <c r="I844" s="1405"/>
      <c r="J844" s="1405"/>
      <c r="K844" s="1405"/>
      <c r="L844" s="1405"/>
      <c r="M844" s="1405"/>
      <c r="N844" s="1405"/>
      <c r="O844" s="1405"/>
      <c r="P844" s="1405"/>
      <c r="Q844" s="1405"/>
      <c r="R844" s="1405"/>
      <c r="S844" s="1405"/>
      <c r="T844" s="1405"/>
      <c r="U844" s="1405"/>
      <c r="V844" s="1405"/>
      <c r="W844" s="1405"/>
      <c r="X844" s="1405"/>
      <c r="Y844" s="1405"/>
      <c r="Z844" s="1405"/>
      <c r="AA844" s="1405"/>
      <c r="AB844" s="1405"/>
      <c r="AC844" s="1405"/>
      <c r="AD844" s="1405"/>
      <c r="AE844" s="1296"/>
      <c r="AF844" s="1404"/>
      <c r="AG844" s="1405"/>
      <c r="AH844" s="1405"/>
      <c r="AI844" s="1405"/>
      <c r="AJ844" s="1405"/>
      <c r="AK844" s="1296"/>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AP563:AR563"/>
    <mergeCell ref="C523:D523"/>
    <mergeCell ref="T838:Y838"/>
    <mergeCell ref="E138:H138"/>
    <mergeCell ref="B203:AB203"/>
    <mergeCell ref="B227:G227"/>
    <mergeCell ref="E770:AB771"/>
    <mergeCell ref="T839:Y839"/>
    <mergeCell ref="T129:W129"/>
    <mergeCell ref="B228:G228"/>
    <mergeCell ref="AP565:AR565"/>
    <mergeCell ref="O132:R132"/>
    <mergeCell ref="AF434:AL434"/>
    <mergeCell ref="AP570:AR570"/>
    <mergeCell ref="AF566:AJ566"/>
    <mergeCell ref="E657:AD658"/>
    <mergeCell ref="AJ766:AK766"/>
    <mergeCell ref="AF809:AL809"/>
    <mergeCell ref="E682:AC684"/>
    <mergeCell ref="H748:I748"/>
    <mergeCell ref="H803:I803"/>
    <mergeCell ref="AF728:AL728"/>
    <mergeCell ref="AF678:AL678"/>
    <mergeCell ref="H698:I698"/>
    <mergeCell ref="B78:C78"/>
    <mergeCell ref="B39:C39"/>
    <mergeCell ref="I226:K226"/>
    <mergeCell ref="AG26:AJ26"/>
    <mergeCell ref="AB250:AG250"/>
    <mergeCell ref="AF837:AK837"/>
    <mergeCell ref="B835:S835"/>
    <mergeCell ref="A819:AM820"/>
    <mergeCell ref="C394:D394"/>
    <mergeCell ref="B829:S829"/>
    <mergeCell ref="AF455:AL455"/>
    <mergeCell ref="B201:AB201"/>
    <mergeCell ref="F518:AE519"/>
    <mergeCell ref="AG267:AK267"/>
    <mergeCell ref="B56:C56"/>
    <mergeCell ref="B43:C43"/>
    <mergeCell ref="AF410:AL410"/>
    <mergeCell ref="E89:AJ90"/>
    <mergeCell ref="X647:Y647"/>
    <mergeCell ref="AB233:AG233"/>
    <mergeCell ref="AK190:AM190"/>
    <mergeCell ref="AB154:AC154"/>
    <mergeCell ref="AD207:AJ207"/>
    <mergeCell ref="E135:H135"/>
    <mergeCell ref="AP572:AR572"/>
    <mergeCell ref="AP566:AR566"/>
    <mergeCell ref="T840:Y840"/>
    <mergeCell ref="AJ700:AK700"/>
    <mergeCell ref="AJ165:AK165"/>
    <mergeCell ref="F446:AE454"/>
    <mergeCell ref="N224:R224"/>
    <mergeCell ref="F491:AE492"/>
    <mergeCell ref="B205:AB205"/>
    <mergeCell ref="F312:AD313"/>
    <mergeCell ref="F346:AD348"/>
    <mergeCell ref="AF670:AL670"/>
    <mergeCell ref="B826:S826"/>
    <mergeCell ref="AF836:AK836"/>
    <mergeCell ref="B828:S828"/>
    <mergeCell ref="AF824:AK825"/>
    <mergeCell ref="AP738:AQ738"/>
    <mergeCell ref="AF462:AL462"/>
    <mergeCell ref="AF704:AL704"/>
    <mergeCell ref="F279:AD286"/>
    <mergeCell ref="AF470:AL470"/>
    <mergeCell ref="T826:Y826"/>
    <mergeCell ref="AQ388:AR388"/>
    <mergeCell ref="AJ805:AK805"/>
    <mergeCell ref="AF841:AK841"/>
    <mergeCell ref="AF770:AL770"/>
    <mergeCell ref="H663:I663"/>
    <mergeCell ref="E787:AD790"/>
    <mergeCell ref="T827:Y827"/>
    <mergeCell ref="AF707:AL707"/>
    <mergeCell ref="Z835:AE835"/>
    <mergeCell ref="T229:Y229"/>
    <mergeCell ref="Z829:AE829"/>
    <mergeCell ref="N230:R230"/>
    <mergeCell ref="B840:S840"/>
    <mergeCell ref="T829:Y829"/>
    <mergeCell ref="C831:S831"/>
    <mergeCell ref="Z837:AE837"/>
    <mergeCell ref="R619:W619"/>
    <mergeCell ref="F516:Z516"/>
    <mergeCell ref="T230:Y230"/>
    <mergeCell ref="D508:E508"/>
    <mergeCell ref="E707:AB710"/>
    <mergeCell ref="B568:AJ570"/>
    <mergeCell ref="AF839:AK839"/>
    <mergeCell ref="E798:AD801"/>
    <mergeCell ref="AF420:AL420"/>
    <mergeCell ref="C436:D436"/>
    <mergeCell ref="AF843:AK844"/>
    <mergeCell ref="B207:AB207"/>
    <mergeCell ref="I232:K232"/>
    <mergeCell ref="Y132:AB132"/>
    <mergeCell ref="AF838:AK838"/>
    <mergeCell ref="E97:AJ100"/>
    <mergeCell ref="Z841:AE841"/>
    <mergeCell ref="C420:D420"/>
    <mergeCell ref="F329:AD333"/>
    <mergeCell ref="B577:AJ585"/>
    <mergeCell ref="A843:AE844"/>
    <mergeCell ref="AD198:AJ198"/>
    <mergeCell ref="AF394:AL394"/>
    <mergeCell ref="C557:D557"/>
    <mergeCell ref="I342:AD344"/>
    <mergeCell ref="AF412:AL412"/>
    <mergeCell ref="AE551:AK551"/>
    <mergeCell ref="B202:AB202"/>
    <mergeCell ref="C434:D434"/>
    <mergeCell ref="I227:K227"/>
    <mergeCell ref="AB242:AG242"/>
    <mergeCell ref="C323:D323"/>
    <mergeCell ref="AD129:AG129"/>
    <mergeCell ref="Z836:AE836"/>
    <mergeCell ref="E12:AJ14"/>
    <mergeCell ref="E670:AC672"/>
    <mergeCell ref="E694:AC696"/>
    <mergeCell ref="E745:AB746"/>
    <mergeCell ref="AD201:AJ201"/>
    <mergeCell ref="E74:F74"/>
    <mergeCell ref="O614:AB614"/>
    <mergeCell ref="AK548:AM548"/>
    <mergeCell ref="AB239:AG239"/>
    <mergeCell ref="E126:H126"/>
    <mergeCell ref="AF694:AL694"/>
    <mergeCell ref="AJ163:AK163"/>
    <mergeCell ref="AJ665:AK665"/>
    <mergeCell ref="B225:G225"/>
    <mergeCell ref="AD210:AJ210"/>
    <mergeCell ref="U386:W386"/>
    <mergeCell ref="AB244:AG244"/>
    <mergeCell ref="Y135:AB135"/>
    <mergeCell ref="B629:C629"/>
    <mergeCell ref="AJ634:AK634"/>
    <mergeCell ref="B97:C97"/>
    <mergeCell ref="AE354:AK354"/>
    <mergeCell ref="AB223:AG223"/>
    <mergeCell ref="AK108:AM108"/>
    <mergeCell ref="C279:D279"/>
    <mergeCell ref="H776:I776"/>
    <mergeCell ref="E718:AB720"/>
    <mergeCell ref="C163:Z163"/>
    <mergeCell ref="C554:D554"/>
    <mergeCell ref="Y126:AB126"/>
    <mergeCell ref="AG286:AJ286"/>
    <mergeCell ref="E114:AJ121"/>
    <mergeCell ref="C491:D491"/>
    <mergeCell ref="C412:D412"/>
    <mergeCell ref="E754:AB757"/>
    <mergeCell ref="AG279:AJ279"/>
    <mergeCell ref="AB243:AG243"/>
    <mergeCell ref="C363:AJ365"/>
    <mergeCell ref="H619:I619"/>
    <mergeCell ref="E704:AB705"/>
    <mergeCell ref="AB255:AG255"/>
    <mergeCell ref="B188:S188"/>
    <mergeCell ref="AF436:AL436"/>
    <mergeCell ref="AB230:AG230"/>
    <mergeCell ref="T123:W123"/>
    <mergeCell ref="AB259:AG259"/>
    <mergeCell ref="C528:D528"/>
    <mergeCell ref="AK298:AM298"/>
    <mergeCell ref="B839:S839"/>
    <mergeCell ref="C422:D422"/>
    <mergeCell ref="B841:S841"/>
    <mergeCell ref="F305:AD307"/>
    <mergeCell ref="AK272:AM272"/>
    <mergeCell ref="C470:D470"/>
    <mergeCell ref="E742:AB743"/>
    <mergeCell ref="AB222:AG222"/>
    <mergeCell ref="B836:S836"/>
    <mergeCell ref="H651:I651"/>
    <mergeCell ref="E759:AA762"/>
    <mergeCell ref="Z838:AE838"/>
    <mergeCell ref="E809:AD810"/>
    <mergeCell ref="Z839:AE839"/>
    <mergeCell ref="Z833:AE833"/>
    <mergeCell ref="A822:AM822"/>
    <mergeCell ref="C443:D443"/>
    <mergeCell ref="B830:S830"/>
    <mergeCell ref="B224:G224"/>
    <mergeCell ref="AF638:AL638"/>
    <mergeCell ref="C382:AJ384"/>
    <mergeCell ref="Z827:AE827"/>
    <mergeCell ref="F397:AF401"/>
    <mergeCell ref="A346:B346"/>
    <mergeCell ref="B834:S834"/>
    <mergeCell ref="E728:AB730"/>
    <mergeCell ref="E137:H137"/>
    <mergeCell ref="Y129:AB129"/>
    <mergeCell ref="Y123:AB123"/>
    <mergeCell ref="B232:G232"/>
    <mergeCell ref="T135:W135"/>
    <mergeCell ref="E75:F75"/>
    <mergeCell ref="AF604:AL604"/>
    <mergeCell ref="Z824:AE825"/>
    <mergeCell ref="AB227:AG227"/>
    <mergeCell ref="B229:G229"/>
    <mergeCell ref="B827:S827"/>
    <mergeCell ref="T832:Y832"/>
    <mergeCell ref="Z831:AE831"/>
    <mergeCell ref="C361:AJ361"/>
    <mergeCell ref="F458:AE461"/>
    <mergeCell ref="AD205:AJ205"/>
    <mergeCell ref="F466:AE468"/>
    <mergeCell ref="AE575:AK575"/>
    <mergeCell ref="B89:C89"/>
    <mergeCell ref="E92:H92"/>
    <mergeCell ref="E94:H94"/>
    <mergeCell ref="J132:M132"/>
    <mergeCell ref="B833:S833"/>
    <mergeCell ref="F310:AD311"/>
    <mergeCell ref="C375:AJ380"/>
    <mergeCell ref="E30:AJ31"/>
    <mergeCell ref="B67:C67"/>
    <mergeCell ref="C462:D462"/>
    <mergeCell ref="C169:AI169"/>
    <mergeCell ref="AF657:AL657"/>
    <mergeCell ref="AF828:AK828"/>
    <mergeCell ref="AE193:AK193"/>
    <mergeCell ref="E49:AJ50"/>
    <mergeCell ref="AD208:AJ208"/>
    <mergeCell ref="I224:K224"/>
    <mergeCell ref="V505:X505"/>
    <mergeCell ref="C162:AJ162"/>
    <mergeCell ref="AE185:AK185"/>
    <mergeCell ref="B33:C33"/>
    <mergeCell ref="N225:R225"/>
    <mergeCell ref="AD204:AJ204"/>
    <mergeCell ref="N227:R227"/>
    <mergeCell ref="AD206:AJ206"/>
    <mergeCell ref="O126:R126"/>
    <mergeCell ref="B187:AC187"/>
    <mergeCell ref="AK182:AM182"/>
    <mergeCell ref="E93:H93"/>
    <mergeCell ref="AF171:AG171"/>
    <mergeCell ref="E33:AJ35"/>
    <mergeCell ref="AB229:AG229"/>
    <mergeCell ref="AF564:AJ564"/>
    <mergeCell ref="E104:H104"/>
    <mergeCell ref="AE86:AK86"/>
    <mergeCell ref="Z828:AE828"/>
    <mergeCell ref="E67:AJ71"/>
    <mergeCell ref="T126:W126"/>
    <mergeCell ref="AF754:AL754"/>
    <mergeCell ref="AK61:AM61"/>
    <mergeCell ref="B208:AB208"/>
    <mergeCell ref="U387:W387"/>
    <mergeCell ref="F425:AE428"/>
    <mergeCell ref="AJ179:AK179"/>
    <mergeCell ref="B160:AJ161"/>
    <mergeCell ref="B200:AB200"/>
    <mergeCell ref="I225:K225"/>
    <mergeCell ref="C455:D455"/>
    <mergeCell ref="AF479:AL479"/>
    <mergeCell ref="T232:Y232"/>
    <mergeCell ref="T226:Y226"/>
    <mergeCell ref="T228:Y228"/>
    <mergeCell ref="AK142:AM142"/>
    <mergeCell ref="AF616:AL616"/>
    <mergeCell ref="AK816:AM816"/>
    <mergeCell ref="AF591:AL591"/>
    <mergeCell ref="AE485:AK485"/>
    <mergeCell ref="AJ738:AK738"/>
    <mergeCell ref="F558:AL559"/>
    <mergeCell ref="I337:AD340"/>
    <mergeCell ref="J129:M129"/>
    <mergeCell ref="E132:H132"/>
    <mergeCell ref="T834:Y834"/>
    <mergeCell ref="C173:AD173"/>
    <mergeCell ref="B199:AB199"/>
    <mergeCell ref="B223:G223"/>
    <mergeCell ref="Z842:AE842"/>
    <mergeCell ref="F521:H521"/>
    <mergeCell ref="E78:AJ79"/>
    <mergeCell ref="T842:Y842"/>
    <mergeCell ref="T836:Y836"/>
    <mergeCell ref="AF443:AL443"/>
    <mergeCell ref="AD209:AJ209"/>
    <mergeCell ref="O129:R129"/>
    <mergeCell ref="E638:AD645"/>
    <mergeCell ref="N232:R232"/>
    <mergeCell ref="J135:M135"/>
    <mergeCell ref="AF674:AL674"/>
    <mergeCell ref="C466:D466"/>
    <mergeCell ref="AF732:AL732"/>
    <mergeCell ref="AF682:AL682"/>
    <mergeCell ref="AF598:AL598"/>
    <mergeCell ref="AB221:AG221"/>
    <mergeCell ref="N229:R229"/>
    <mergeCell ref="AE145:AK145"/>
    <mergeCell ref="C532:D532"/>
    <mergeCell ref="AS373:AT373"/>
    <mergeCell ref="G532:AF533"/>
    <mergeCell ref="AD203:AJ203"/>
    <mergeCell ref="O123:R123"/>
    <mergeCell ref="AD135:AG135"/>
    <mergeCell ref="C402:D402"/>
    <mergeCell ref="H792:I792"/>
    <mergeCell ref="T223:Y223"/>
    <mergeCell ref="F475:AF478"/>
    <mergeCell ref="H736:I736"/>
    <mergeCell ref="C356:AJ360"/>
    <mergeCell ref="AB257:AG257"/>
    <mergeCell ref="B230:G230"/>
    <mergeCell ref="AF686:AL686"/>
    <mergeCell ref="E123:H123"/>
    <mergeCell ref="AF565:AJ565"/>
    <mergeCell ref="E686:AC688"/>
    <mergeCell ref="AB246:AG246"/>
    <mergeCell ref="B204:AB204"/>
    <mergeCell ref="B198:AB198"/>
    <mergeCell ref="AP569:AR569"/>
    <mergeCell ref="C346:D346"/>
    <mergeCell ref="AB226:AG226"/>
    <mergeCell ref="AK572:AM572"/>
    <mergeCell ref="T833:Y833"/>
    <mergeCell ref="E629:AG632"/>
    <mergeCell ref="B222:G222"/>
    <mergeCell ref="A1:AM2"/>
    <mergeCell ref="N231:R231"/>
    <mergeCell ref="B37:C37"/>
    <mergeCell ref="F561:AK562"/>
    <mergeCell ref="T828:Y828"/>
    <mergeCell ref="AB231:AG231"/>
    <mergeCell ref="AF422:AL422"/>
    <mergeCell ref="B52:C52"/>
    <mergeCell ref="H812:I812"/>
    <mergeCell ref="E103:H103"/>
    <mergeCell ref="B59:C59"/>
    <mergeCell ref="B46:C46"/>
    <mergeCell ref="E46:AJ47"/>
    <mergeCell ref="B73:C73"/>
    <mergeCell ref="AE111:AK111"/>
    <mergeCell ref="AK351:AM351"/>
    <mergeCell ref="AK482:AM482"/>
    <mergeCell ref="B152:AI152"/>
    <mergeCell ref="T830:Y830"/>
    <mergeCell ref="F405:AF409"/>
    <mergeCell ref="E20:AJ21"/>
    <mergeCell ref="AF842:AK842"/>
    <mergeCell ref="AB228:AG228"/>
    <mergeCell ref="E678:AC680"/>
    <mergeCell ref="N223:R223"/>
    <mergeCell ref="E782:AD785"/>
    <mergeCell ref="A305:B305"/>
    <mergeCell ref="AD202:AJ202"/>
    <mergeCell ref="J126:M126"/>
    <mergeCell ref="C305:D305"/>
    <mergeCell ref="AF840:AK840"/>
    <mergeCell ref="AF798:AL798"/>
    <mergeCell ref="C286:D286"/>
    <mergeCell ref="F316:AD319"/>
    <mergeCell ref="E129:H129"/>
    <mergeCell ref="V498:X498"/>
    <mergeCell ref="I231:K231"/>
    <mergeCell ref="AD132:AG132"/>
    <mergeCell ref="AF787:AL787"/>
    <mergeCell ref="AG305:AK305"/>
    <mergeCell ref="F308:AD309"/>
    <mergeCell ref="B206:AB206"/>
    <mergeCell ref="C425:D425"/>
    <mergeCell ref="AF835:AK835"/>
    <mergeCell ref="F390:AF393"/>
    <mergeCell ref="Z840:AE840"/>
    <mergeCell ref="AF649:AL649"/>
    <mergeCell ref="I228:K228"/>
    <mergeCell ref="N222:R222"/>
    <mergeCell ref="AF834:AK834"/>
    <mergeCell ref="Y620:AM621"/>
    <mergeCell ref="C518:D518"/>
    <mergeCell ref="AD126:AG126"/>
    <mergeCell ref="AF759:AL759"/>
    <mergeCell ref="E674:AC676"/>
    <mergeCell ref="I223:K223"/>
    <mergeCell ref="C495:D495"/>
    <mergeCell ref="AF690:AL690"/>
    <mergeCell ref="F470:AE473"/>
    <mergeCell ref="AB253:AG253"/>
    <mergeCell ref="AJ653:AK653"/>
    <mergeCell ref="E690:AC692"/>
    <mergeCell ref="T222:Y222"/>
    <mergeCell ref="AG268:AK268"/>
    <mergeCell ref="AF827:AK827"/>
    <mergeCell ref="AF660:AL660"/>
    <mergeCell ref="AF187:AL187"/>
    <mergeCell ref="AF829:AK829"/>
    <mergeCell ref="Z832:AE832"/>
    <mergeCell ref="AE7:AK7"/>
    <mergeCell ref="T224:Y224"/>
    <mergeCell ref="AF402:AL402"/>
    <mergeCell ref="AJ794:AK794"/>
    <mergeCell ref="F514:AE515"/>
    <mergeCell ref="T824:Y825"/>
    <mergeCell ref="F430:AE433"/>
    <mergeCell ref="B149:AC149"/>
    <mergeCell ref="F537:AF538"/>
    <mergeCell ref="E59:AJ59"/>
    <mergeCell ref="B30:C30"/>
    <mergeCell ref="AD199:AJ199"/>
    <mergeCell ref="AF426:AL426"/>
    <mergeCell ref="J123:M123"/>
    <mergeCell ref="AF466:AL466"/>
    <mergeCell ref="E43:AJ44"/>
    <mergeCell ref="A323:B323"/>
    <mergeCell ref="T225:Y225"/>
    <mergeCell ref="AF167:AL167"/>
    <mergeCell ref="N226:R226"/>
    <mergeCell ref="C177:AD177"/>
    <mergeCell ref="T227:Y227"/>
    <mergeCell ref="AB224:AG224"/>
    <mergeCell ref="AF782:AL782"/>
    <mergeCell ref="T835:Y835"/>
    <mergeCell ref="B81:C81"/>
    <mergeCell ref="V500:X500"/>
    <mergeCell ref="AF826:AK826"/>
    <mergeCell ref="AJ778:AK778"/>
    <mergeCell ref="AO708:AP708"/>
    <mergeCell ref="T837:Y837"/>
    <mergeCell ref="H722:I722"/>
    <mergeCell ref="Z830:AE830"/>
    <mergeCell ref="N228:R228"/>
    <mergeCell ref="I627:AE627"/>
    <mergeCell ref="AD200:AJ200"/>
    <mergeCell ref="E105:H105"/>
    <mergeCell ref="T221:Y221"/>
    <mergeCell ref="AB256:AG256"/>
    <mergeCell ref="F554:AL555"/>
    <mergeCell ref="I221:K221"/>
    <mergeCell ref="AF830:AK830"/>
    <mergeCell ref="V509:X509"/>
    <mergeCell ref="C514:D514"/>
    <mergeCell ref="AF832:AK832"/>
    <mergeCell ref="V511:X511"/>
    <mergeCell ref="E102:H102"/>
    <mergeCell ref="T831:Y831"/>
    <mergeCell ref="B837:S837"/>
    <mergeCell ref="B289:AL296"/>
    <mergeCell ref="AB251:AG251"/>
    <mergeCell ref="B209:AB209"/>
    <mergeCell ref="AE64:AK64"/>
    <mergeCell ref="AG269:AK269"/>
    <mergeCell ref="AK83:AM83"/>
    <mergeCell ref="F493:Z493"/>
    <mergeCell ref="T841:Y841"/>
    <mergeCell ref="AF610:AL610"/>
    <mergeCell ref="AJ724:AK724"/>
    <mergeCell ref="E732:AB734"/>
    <mergeCell ref="AF831:AK831"/>
    <mergeCell ref="Z834:AE834"/>
    <mergeCell ref="A823:AM823"/>
    <mergeCell ref="AF833:AK833"/>
    <mergeCell ref="AD123:AG123"/>
    <mergeCell ref="AF745:AL745"/>
    <mergeCell ref="AF712:AL712"/>
    <mergeCell ref="AF147:AL147"/>
    <mergeCell ref="C479:D479"/>
    <mergeCell ref="AJ750:AK750"/>
    <mergeCell ref="I222:K222"/>
    <mergeCell ref="T132:W132"/>
    <mergeCell ref="C832:S832"/>
    <mergeCell ref="AS371:AT371"/>
    <mergeCell ref="B157:AJ157"/>
    <mergeCell ref="T231:Y231"/>
    <mergeCell ref="E76:F76"/>
    <mergeCell ref="C366:AJ374"/>
    <mergeCell ref="C410:D410"/>
    <mergeCell ref="AQ379:AR379"/>
    <mergeCell ref="AJ814:AK814"/>
    <mergeCell ref="E81:AJ81"/>
    <mergeCell ref="B231:G231"/>
    <mergeCell ref="AB232:AG232"/>
    <mergeCell ref="AS375:AT375"/>
    <mergeCell ref="I229:K229"/>
    <mergeCell ref="AF773:AL773"/>
    <mergeCell ref="AE679:AK679"/>
    <mergeCell ref="B226:G226"/>
    <mergeCell ref="E712:AB716"/>
    <mergeCell ref="AB225:AG225"/>
    <mergeCell ref="AF742:AL742"/>
    <mergeCell ref="T188:AC188"/>
    <mergeCell ref="AP567:AR567"/>
    <mergeCell ref="F324:AD325"/>
    <mergeCell ref="AB249:AG249"/>
    <mergeCell ref="E37:AJ37"/>
    <mergeCell ref="O135:R135"/>
    <mergeCell ref="Z826:AE826"/>
    <mergeCell ref="C536:D536"/>
    <mergeCell ref="H764:I764"/>
    <mergeCell ref="A315:B315"/>
    <mergeCell ref="B12:C12"/>
    <mergeCell ref="F416:AF419"/>
    <mergeCell ref="E773:AB774"/>
    <mergeCell ref="C315:D315"/>
    <mergeCell ref="E56:AJ57"/>
    <mergeCell ref="B49:C49"/>
    <mergeCell ref="B26:C26"/>
    <mergeCell ref="E52:AJ52"/>
    <mergeCell ref="E39:AJ39"/>
    <mergeCell ref="AB265:AG265"/>
    <mergeCell ref="B114:C114"/>
    <mergeCell ref="G526:AF526"/>
    <mergeCell ref="B16:C16"/>
    <mergeCell ref="E16:AJ18"/>
    <mergeCell ref="B20:C20"/>
    <mergeCell ref="C525:D525"/>
    <mergeCell ref="F440:AE442"/>
    <mergeCell ref="I230:K230"/>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0000000}">
      <formula1>$AS$188:$AS$190</formula1>
    </dataValidation>
    <dataValidation type="list" allowBlank="1" showInputMessage="1" showErrorMessage="1" sqref="B152:AI152" xr:uid="{00000000-0002-0000-0800-000001000000}">
      <formula1>$AO$150:$AO$153</formula1>
    </dataValidation>
    <dataValidation type="list" allowBlank="1" showInputMessage="1" showErrorMessage="1" sqref="B12:C12 B16:C16 B18:C18 B20:C20 B26:C26 B30:C30 B33:C33 B37:C37 B39:C39 B43:C43 B46:C46 B49:C49 B52:C52 B56:C56 B59:C59 B67:C67 B73:C73 B78:C78 B81:C81 B89:C89 B97:C97 B114:C114 C279:D279 C286:D286 C315:D315 C323:D323 C346:D346 C394:D394 C402:D402 C410:D410 C412:D412 C420:D420 C422:D422 C425:D425 C434:D434 C436:D436 C443:D443 C455:D455 C462:D462 C466:D466 C470:D470 C479:D479 C491:D491 C495:D495 C514:D514 C518:D518 C523:D523 C528:D528 C532:D532 C536:D536 C554:D554 C557:D557 E74:F76 X647:Y647" xr:uid="{00000000-0002-0000-0800-000002000000}">
      <formula1>"N/A, Yes"</formula1>
    </dataValidation>
    <dataValidation type="list" allowBlank="1" showInputMessage="1" showErrorMessage="1" sqref="G526:AF526" xr:uid="{00000000-0002-0000-0800-000003000000}">
      <formula1>$AO$501:$AO$504</formula1>
    </dataValidation>
    <dataValidation type="list" allowBlank="1" showInputMessage="1" showErrorMessage="1" sqref="H651:I651 H663:I663 H736:I736 H748:I748 H764:I764 H776:I776" xr:uid="{00000000-0002-0000-0800-000004000000}">
      <formula1>$AO$599:$AO$601</formula1>
    </dataValidation>
    <dataValidation type="list" allowBlank="1" showInputMessage="1" showErrorMessage="1" sqref="H663:I663" xr:uid="{00000000-0002-0000-0800-000005000000}">
      <formula1>$AO$599:$AO$600</formula1>
    </dataValidation>
    <dataValidation type="list" showInputMessage="1" showErrorMessage="1" sqref="B629:C629" xr:uid="{00000000-0002-0000-0800-000006000000}">
      <formula1>$AP$587:$AP$588</formula1>
    </dataValidation>
    <dataValidation type="list" allowBlank="1" showInputMessage="1" showErrorMessage="1" sqref="AB154:AC154 AF171:AG171 AJ163:AK163" xr:uid="{00000000-0002-0000-0800-000007000000}">
      <formula1>"N/A,Yes,"</formula1>
    </dataValidation>
    <dataValidation type="list" allowBlank="1" showInputMessage="1" showErrorMessage="1" sqref="B157" xr:uid="{00000000-0002-0000-0800-000008000000}">
      <formula1>$AO$155:$AO$157</formula1>
    </dataValidation>
    <dataValidation type="list" allowBlank="1" showInputMessage="1" showErrorMessage="1" sqref="F516:Z516" xr:uid="{00000000-0002-0000-0800-000009000000}">
      <formula1>$AO$484:$AO$492</formula1>
    </dataValidation>
    <dataValidation type="list" allowBlank="1" showInputMessage="1" showErrorMessage="1" sqref="F521:H521" xr:uid="{00000000-0002-0000-0800-00000A000000}">
      <formula1>$AO$494:$AO$496</formula1>
    </dataValidation>
    <dataValidation type="list" allowBlank="1" showInputMessage="1" showErrorMessage="1" sqref="F537" xr:uid="{00000000-0002-0000-0800-00000B000000}">
      <formula1>$AO$507:$AO$510</formula1>
    </dataValidation>
    <dataValidation type="list" allowBlank="1" showInputMessage="1" showErrorMessage="1" sqref="H803:I803 H812:I812" xr:uid="{00000000-0002-0000-0800-00000C000000}">
      <formula1>$AO$797:$AO$798</formula1>
    </dataValidation>
    <dataValidation type="list" allowBlank="1" showInputMessage="1" showErrorMessage="1" sqref="B223:G232" xr:uid="{00000000-0002-0000-0800-00000D000000}">
      <formula1>"(select),SRO/Studio,1 bedroom,2 bedroom,3 bedroom,4 bedroom,5 bedroom"</formula1>
    </dataValidation>
    <dataValidation type="list" allowBlank="1" showInputMessage="1" showErrorMessage="1" sqref="I342:AD344" xr:uid="{00000000-0002-0000-0800-00000E000000}">
      <formula1>$AP$343:$AP$345</formula1>
    </dataValidation>
    <dataValidation type="list" allowBlank="1" showInputMessage="1" showErrorMessage="1" sqref="I337" xr:uid="{00000000-0002-0000-0800-00000F000000}">
      <formula1>$AP$336:$AP$340</formula1>
    </dataValidation>
    <dataValidation type="list" allowBlank="1" showInputMessage="1" showErrorMessage="1" sqref="O614" xr:uid="{00000000-0002-0000-0800-000010000000}">
      <formula1>"(select),Dial-a-ride service,Project-operated van service"</formula1>
    </dataValidation>
    <dataValidation type="list" allowBlank="1" showInputMessage="1" showErrorMessage="1" sqref="C173:AD173" xr:uid="{00000000-0002-0000-0800-000011000000}">
      <formula1>$AO$176:$AO$178</formula1>
    </dataValidation>
    <dataValidation type="list" allowBlank="1" showInputMessage="1" showErrorMessage="1" sqref="C169:AI169" xr:uid="{00000000-0002-0000-0800-000012000000}">
      <formula1>$AO$169:$AO$172</formula1>
    </dataValidation>
    <dataValidation type="list" allowBlank="1" showInputMessage="1" showErrorMessage="1" sqref="C170:AD170" xr:uid="{00000000-0002-0000-0800-000013000000}">
      <formula1>$AO$169:$AO$174</formula1>
    </dataValidation>
    <dataValidation type="list" allowBlank="1" showInputMessage="1" showErrorMessage="1" sqref="H619:I619 H621:I625" xr:uid="{00000000-0002-0000-0800-000014000000}">
      <formula1>$AO$599:$AO$604</formula1>
    </dataValidation>
    <dataValidation type="list" allowBlank="1" showInputMessage="1" showErrorMessage="1" sqref="I627" xr:uid="{00000000-0002-0000-0800-000015000000}">
      <formula1>$AO$626:$AO$628</formula1>
    </dataValidation>
    <dataValidation type="list" allowBlank="1" showInputMessage="1" showErrorMessage="1" sqref="F329:AD333" xr:uid="{00000000-0002-0000-0800-000016000000}">
      <formula1>$AP$324:$AP$327</formula1>
    </dataValidation>
    <dataValidation type="list" allowBlank="1" showInputMessage="1" showErrorMessage="1" sqref="H698:I698" xr:uid="{00000000-0002-0000-0800-000017000000}">
      <formula1>$AO$646:$AO$653</formula1>
    </dataValidation>
    <dataValidation type="list" allowBlank="1" showInputMessage="1" showErrorMessage="1" sqref="C305:D305" xr:uid="{00000000-0002-0000-0800-000018000000}">
      <formula1>"N/A, Yes, 50% Met"</formula1>
    </dataValidation>
    <dataValidation type="list" showInputMessage="1" showErrorMessage="1" sqref="B187:AC187" xr:uid="{00000000-0002-0000-0800-000019000000}">
      <formula1>$AP$184:$AP$190</formula1>
    </dataValidation>
    <dataValidation type="list" allowBlank="1" showInputMessage="1" showErrorMessage="1" sqref="V500:X500" xr:uid="{00000000-0002-0000-0800-00001A000000}">
      <formula1>$AT$494:$AT$496</formula1>
    </dataValidation>
    <dataValidation type="list" allowBlank="1" showInputMessage="1" showErrorMessage="1" sqref="V509:X509" xr:uid="{00000000-0002-0000-0800-00001B000000}">
      <formula1>$BB$494:$BB$497</formula1>
    </dataValidation>
    <dataValidation type="list" allowBlank="1" showInputMessage="1" showErrorMessage="1" sqref="V511:X511" xr:uid="{00000000-0002-0000-0800-00001C000000}">
      <formula1>$BF$494:$BF$496</formula1>
    </dataValidation>
    <dataValidation type="list" allowBlank="1" showInputMessage="1" showErrorMessage="1" sqref="F493:Z493" xr:uid="{00000000-0002-0000-0800-00001D000000}">
      <formula1>$AT$484:$AT$492</formula1>
    </dataValidation>
    <dataValidation type="list" allowBlank="1" showInputMessage="1" showErrorMessage="1" sqref="V505:X505" xr:uid="{00000000-0002-0000-0800-00001E000000}">
      <formula1>$AT$498:$AT$500</formula1>
    </dataValidation>
    <dataValidation type="list" allowBlank="1" showInputMessage="1" showErrorMessage="1" sqref="V498:X498" xr:uid="{00000000-0002-0000-0800-00001F000000}">
      <formula1>$AW$494:$AW$496</formula1>
    </dataValidation>
    <dataValidation type="list" allowBlank="1" showInputMessage="1" showErrorMessage="1" sqref="R619:W619" xr:uid="{00000000-0002-0000-0800-000020000000}">
      <formula1>$AO$606:$AO$608</formula1>
    </dataValidation>
    <dataValidation type="list" allowBlank="1" showInputMessage="1" showErrorMessage="1" sqref="H792:I792" xr:uid="{00000000-0002-0000-0800-000021000000}">
      <formula1>$AO$782:$AO$784</formula1>
    </dataValidation>
    <dataValidation type="list" allowBlank="1" showInputMessage="1" showErrorMessage="1" sqref="H722:I722" xr:uid="{00000000-0002-0000-0800-000022000000}">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 &amp;A</oddFooter>
  </headerFooter>
  <rowBreaks count="8" manualBreakCount="8">
    <brk id="62" max="38" man="1"/>
    <brk id="109" max="38" man="1"/>
    <brk id="299" max="38" man="1"/>
    <brk id="573" max="38" man="1"/>
    <brk id="693" max="38" man="1"/>
    <brk id="751" max="38" man="1"/>
    <brk id="404" max="38" man="1"/>
    <brk id="818"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25</vt:i4>
      </vt:variant>
    </vt:vector>
  </HeadingPairs>
  <TitlesOfParts>
    <vt:vector size="39"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Phillip Curls</cp:lastModifiedBy>
  <cp:lastPrinted>2026-05-18T21:34:07Z</cp:lastPrinted>
  <dcterms:created xsi:type="dcterms:W3CDTF">2007-12-27T18:26:28Z</dcterms:created>
  <dcterms:modified xsi:type="dcterms:W3CDTF">2026-05-19T00:20:13Z</dcterms:modified>
</cp:coreProperties>
</file>